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3" activeTab="10"/>
  </bookViews>
  <sheets>
    <sheet name="Работы" sheetId="1" r:id="rId1"/>
    <sheet name="Ресурсы" sheetId="2" r:id="rId2"/>
    <sheet name="Лист1" sheetId="3" r:id="rId3"/>
    <sheet name="18,9" sheetId="4" r:id="rId4"/>
    <sheet name="18,5" sheetId="5" r:id="rId5"/>
    <sheet name="18.55" sheetId="6" r:id="rId6"/>
    <sheet name="18,1" sheetId="7" r:id="rId7"/>
    <sheet name="17,10" sheetId="8" r:id="rId8"/>
    <sheet name="16,75" sheetId="9" r:id="rId9"/>
    <sheet name="15,35" sheetId="10" r:id="rId10"/>
    <sheet name="17,0" sheetId="11" r:id="rId11"/>
    <sheet name="17,0 43дом" sheetId="12" r:id="rId12"/>
    <sheet name="16,07" sheetId="13" r:id="rId13"/>
    <sheet name="15,18" sheetId="14" r:id="rId14"/>
  </sheets>
  <definedNames>
    <definedName name="_xlnm.Print_Titles" localSheetId="0">'Работы'!$3:$3</definedName>
    <definedName name="_xlnm.Print_Titles" localSheetId="1">'Ресурсы'!$3:$3</definedName>
  </definedNames>
  <calcPr fullCalcOnLoad="1"/>
</workbook>
</file>

<file path=xl/sharedStrings.xml><?xml version="1.0" encoding="utf-8"?>
<sst xmlns="http://schemas.openxmlformats.org/spreadsheetml/2006/main" count="2802" uniqueCount="815">
  <si>
    <t>Смета расходов. Список работ</t>
  </si>
  <si>
    <t>№пп</t>
  </si>
  <si>
    <t>Работа</t>
  </si>
  <si>
    <t>Измеритель</t>
  </si>
  <si>
    <t>Кол-во ед. изм.</t>
  </si>
  <si>
    <t>Перио- дичность в год</t>
  </si>
  <si>
    <t>Труд. ресурсы, руб.</t>
  </si>
  <si>
    <t>Матер. ресурсы, руб.</t>
  </si>
  <si>
    <t>Маш. мех., руб.</t>
  </si>
  <si>
    <t>Накл. расходы, руб.</t>
  </si>
  <si>
    <t>Прибыль, руб.</t>
  </si>
  <si>
    <t>Расходы на управ., руб.</t>
  </si>
  <si>
    <t>Стоимость, руб.</t>
  </si>
  <si>
    <t>жилфонд 24 МКР, от 9 этажей</t>
  </si>
  <si>
    <t>Конструктивные элементы</t>
  </si>
  <si>
    <t>Осушение электрическими насосами</t>
  </si>
  <si>
    <t>100 куб.м. воды</t>
  </si>
  <si>
    <t>Замена поврежденного участка трубопровода диаметром до 100 мм</t>
  </si>
  <si>
    <t>1 участок (6 м)</t>
  </si>
  <si>
    <t>Замена неисправных участков электрической сети (скрытая проводка) при числе и сечении жил в проводе  2x1,5 и 2x2,5 кв.м.</t>
  </si>
  <si>
    <t>100 пог.м</t>
  </si>
  <si>
    <t>Замена ламп накаливания</t>
  </si>
  <si>
    <t>100 шт.</t>
  </si>
  <si>
    <t>Замена выключателей</t>
  </si>
  <si>
    <t>Замена патронов</t>
  </si>
  <si>
    <t>Восстановление (ремонт)  решеток на  продухах  фундамента</t>
  </si>
  <si>
    <t>100 решеток</t>
  </si>
  <si>
    <t>Восстановление (ремонт)  приямков</t>
  </si>
  <si>
    <t>кв.м. приямка</t>
  </si>
  <si>
    <t>Восстановление (ремонт) отмостки</t>
  </si>
  <si>
    <t>100 м2 отмостки</t>
  </si>
  <si>
    <t>Ремонт обмазочной (окрасочной) гидроизоляции стен  фундаментов механизированным способом</t>
  </si>
  <si>
    <t>100 м2 поверхности</t>
  </si>
  <si>
    <t>Устройство и ремонт окрасочной гидроизоляции цоколя ручным способом готовыми составами</t>
  </si>
  <si>
    <t>100 м2 окрасочной поверхности</t>
  </si>
  <si>
    <t>Заделка и герметизация швов и стыков в стенах крупноблочных и крупнопанельных домов</t>
  </si>
  <si>
    <t>на 10 м шва (стыка)</t>
  </si>
  <si>
    <t>Заделка и герметизация швов и стыков в местах примыкания балконных плит к стенам</t>
  </si>
  <si>
    <t>Казеиновое окрашивание гладких фасадов</t>
  </si>
  <si>
    <t>100 м2 обработанной поверхности</t>
  </si>
  <si>
    <t>Улучшенная клеевая окраска стен</t>
  </si>
  <si>
    <t>100 м2 окрашенной поверхности</t>
  </si>
  <si>
    <t>Улучшенная масляная окраска ранее окрашенных поверхностей</t>
  </si>
  <si>
    <t>Ремонт внутренней штукатурки потолков отдельными местами</t>
  </si>
  <si>
    <t>100 кв. м</t>
  </si>
  <si>
    <t>Улучшенная клеевая окраска потолков</t>
  </si>
  <si>
    <t>Ремонт плит балконов, лоджий и эркеров</t>
  </si>
  <si>
    <t>куб.м.</t>
  </si>
  <si>
    <t>Укрепление стоек металлических ограждений</t>
  </si>
  <si>
    <t>1 укрепляемая стойка</t>
  </si>
  <si>
    <t>Заделка выбоин в цементных полах</t>
  </si>
  <si>
    <t>кв.м.</t>
  </si>
  <si>
    <t>Ремонт покрытия полов из керамических плиток до 10 шт. размерами 300 мм*300 мм</t>
  </si>
  <si>
    <t>10 плиток</t>
  </si>
  <si>
    <t>Ремонт бетонных полов</t>
  </si>
  <si>
    <t>Ремонт поверхности цементных полов</t>
  </si>
  <si>
    <t>Выравнивание поверхности бетонных и цементных оснований под полы</t>
  </si>
  <si>
    <t>100 м2</t>
  </si>
  <si>
    <t>Постановка заплат на покрытия из мягкой кровли</t>
  </si>
  <si>
    <t>100 м2 заплаты</t>
  </si>
  <si>
    <t>Смена мягкой кровли в два слоя отдельными местами</t>
  </si>
  <si>
    <t>100 м2 сменяемого покрытия</t>
  </si>
  <si>
    <t>Окраска масляными составами ранее окрашенных металлических лестниц и дверей на крышу за 1 раз</t>
  </si>
  <si>
    <t>Смена покрытия  парапетов или брандмауэров без обделки боковых сторон при ширине покрытия до 1 м</t>
  </si>
  <si>
    <t>100 м</t>
  </si>
  <si>
    <t>Смена воронок</t>
  </si>
  <si>
    <t>Смена обделок примыканий из листовой стали к каменным стенам</t>
  </si>
  <si>
    <t>Ремонт дверных полотен со сменой горизонтальных брусков обвязки на два сопряжения</t>
  </si>
  <si>
    <t>100 брусков</t>
  </si>
  <si>
    <t>Ремонт дверных полотен со сменой вертикальных брусков обвязки на два сопряжения</t>
  </si>
  <si>
    <t>Ремонт дверных коробок в широких каменных стенах</t>
  </si>
  <si>
    <t>10 коробок</t>
  </si>
  <si>
    <t>Смена дверных петель при двух сменяемых петлях в полотне</t>
  </si>
  <si>
    <t>10 петель</t>
  </si>
  <si>
    <t>Укрепление наличников дверных проемов</t>
  </si>
  <si>
    <t>1 п.м. наличника</t>
  </si>
  <si>
    <t>Смена пружины</t>
  </si>
  <si>
    <t>1 пружина</t>
  </si>
  <si>
    <t>Смена ручки дверной</t>
  </si>
  <si>
    <t>1 ручка</t>
  </si>
  <si>
    <t>Восстановление (модернизация) остекления дверей</t>
  </si>
  <si>
    <t>100 кв.м.</t>
  </si>
  <si>
    <t>Улучшенная масляная окраска дверей</t>
  </si>
  <si>
    <t>Установка дверного доводчика к дверям из древесины</t>
  </si>
  <si>
    <t>1 прибор</t>
  </si>
  <si>
    <t>Установка дверей и заслонок в проемах подвальных и чердачных помещений</t>
  </si>
  <si>
    <t>1 полотно</t>
  </si>
  <si>
    <t>Ремонт оконных коробок и колод  в каменных стенах при двух переплетах</t>
  </si>
  <si>
    <t>100 коробок или колод</t>
  </si>
  <si>
    <t>Ремонт форточек</t>
  </si>
  <si>
    <t>10 форточек</t>
  </si>
  <si>
    <t>Временная замена разбитого стекла фанерой</t>
  </si>
  <si>
    <t>10 кв.м.</t>
  </si>
  <si>
    <t>Смена задвижки</t>
  </si>
  <si>
    <t>100 задвижек</t>
  </si>
  <si>
    <t>Улучшенная масляная окраска оконных рам</t>
  </si>
  <si>
    <t>Восстановление (ремонт) штукатурки откосов каменных, блочных и крупнопанельных домов внутри здания</t>
  </si>
  <si>
    <t>100 кв.м. откосов</t>
  </si>
  <si>
    <t>Ремонт металлических лестничных решеток</t>
  </si>
  <si>
    <t>100 м решетки</t>
  </si>
  <si>
    <t>Укрепление стоек металлических решеток ограждения  лестниц и площадок</t>
  </si>
  <si>
    <t>100 укрепляемых  стоек</t>
  </si>
  <si>
    <t>Смена прямых  частей поручней</t>
  </si>
  <si>
    <t>Окраска масляными составами ранее окрашенных металлических решеток без рельефа за 2 раза</t>
  </si>
  <si>
    <t xml:space="preserve"> 100 м2 окрашиваемой поверхности</t>
  </si>
  <si>
    <t>Окрашивание масляными составами торцов лестничных маршей и площадок</t>
  </si>
  <si>
    <t>Окрашивание масляными составами деревянных поручней</t>
  </si>
  <si>
    <t>100  м поручня</t>
  </si>
  <si>
    <t>Заделка выбоин в каменных ступенях</t>
  </si>
  <si>
    <t>100 м2 заделанной поверхности</t>
  </si>
  <si>
    <t>Итого по разделу:</t>
  </si>
  <si>
    <t>Внутридомовое инженерное оборудование и технические устройства</t>
  </si>
  <si>
    <t>Смена отдельных участков трубопроводов из стальных электросварных труб   диаметром 50 мм</t>
  </si>
  <si>
    <t>100 м трубопровода</t>
  </si>
  <si>
    <t>Смена отдельных участков трубопроводов из стальных электросварных труб   диаметром  80 мм</t>
  </si>
  <si>
    <t>Смена отдельных участков трубопроводов из стальных электросварных труб диаметром 100 мм</t>
  </si>
  <si>
    <t>Текущий ремонт пластинчатых теплообменников</t>
  </si>
  <si>
    <t>1 теплообменник</t>
  </si>
  <si>
    <t>Утепление трубопровода центрального отопления (водоснабжения)</t>
  </si>
  <si>
    <t>100 м2 утепленного участка</t>
  </si>
  <si>
    <t>Ремонт прибора учета</t>
  </si>
  <si>
    <t>прибор</t>
  </si>
  <si>
    <t>Замена прибора учета</t>
  </si>
  <si>
    <t>Ремонт элеваторного узла с выходным проходом 50 мм</t>
  </si>
  <si>
    <t>1 узел</t>
  </si>
  <si>
    <t>Смена параллельной задвижки,  диаметром до 100 мм</t>
  </si>
  <si>
    <t>Снятие, прочистка и установка параллельной задвижки диаметром  100 мм</t>
  </si>
  <si>
    <t>Смена вентиля диаметром свыше 26 до 50  мм</t>
  </si>
  <si>
    <t>100 вентилей</t>
  </si>
  <si>
    <t>Установка кранов для спуска воздуха из системы, диаметр крана 15-20 мм</t>
  </si>
  <si>
    <t>100 кранов</t>
  </si>
  <si>
    <t>Установка прибора учета тепловой энергии, горячей воды, диаметром до 50 мм</t>
  </si>
  <si>
    <t>Смена отдельных участков трубопроводов водоснабжения из стальных водогазопроводных оцинкованных труб диаметром 40 мм</t>
  </si>
  <si>
    <t>100 м трубопроводов</t>
  </si>
  <si>
    <t>Смена отдельных участков трубопроводов  водоснабжения из стальных водогазопроводных оцинкованных труб диаметром 50 мм</t>
  </si>
  <si>
    <t>Временная заделка свищей и трещин на внутренних трубопроводах и стояках при диаметре трубопровода до 50 мм</t>
  </si>
  <si>
    <t>100 мест</t>
  </si>
  <si>
    <t>Смена сгонов у трубопроводов диаметром до 20 мм</t>
  </si>
  <si>
    <t>100 сгонов</t>
  </si>
  <si>
    <t>Смена сгонов у трубопроводов диаметром до 32 мм</t>
  </si>
  <si>
    <t>Смена сгонов у трубопроводов диаметром до 50 мм</t>
  </si>
  <si>
    <t>Уплотнение сгонов с применением льняной пряди или асбестового шнура (без разборки сгонов) диаметром до 20 мм</t>
  </si>
  <si>
    <t>1 сгон</t>
  </si>
  <si>
    <t>Уплотнение сгонов с применением льняной пряди или асбестового шнура (без разборки сгонов) диаметром до 32 мм</t>
  </si>
  <si>
    <t>Уплотнение сгонов с применением льняной пряди или асбестового шнура (без разборки сгонов) диаметром до 50 мм</t>
  </si>
  <si>
    <t>Ремонт приборов учета воды условным диаметром 25-40 мм</t>
  </si>
  <si>
    <t>Счетчик воды</t>
  </si>
  <si>
    <t>Замена прибора учета воды без фильтра</t>
  </si>
  <si>
    <t>Теплоизоляция сетей  горячего  водоснабжения</t>
  </si>
  <si>
    <t>Окраска масляными составами ранее окрашенных поверхностей  стальных труб горячего водоснабжения за 2 раза</t>
  </si>
  <si>
    <t>100 м2 окрашиваемой поверхности</t>
  </si>
  <si>
    <t>Очистка поверхности от загрязнений</t>
  </si>
  <si>
    <t>Смена вентилей и клапанов обратных муфтовых диаметром до 20 мм</t>
  </si>
  <si>
    <t>Смена вентилей и клапанов обратных муфтовых диаметром до 32  мм</t>
  </si>
  <si>
    <t>Смена вентилей и клапанов обратных муфтовых диаметром до 50  мм</t>
  </si>
  <si>
    <t>Смена задвижек диаметром до 50 мм</t>
  </si>
  <si>
    <t>Смена горизонтальных участков трубопроводов канализации из полиэтиленовых труб высокой плотности диаметром 50 мм</t>
  </si>
  <si>
    <t>Смена горизонтальных участков трубопроводов канализации из полиэтиленовых труб высокой плотности диаметром 100 мм</t>
  </si>
  <si>
    <t>Смена вертикальных участков трубопроводов канализации из полиэтиленовых труб высокой плотности диаметром 50 мм</t>
  </si>
  <si>
    <t>Смена вертикальных участков трубопроводов канализации из полиэтиленовых труб высокой плотности диаметром 100 мм</t>
  </si>
  <si>
    <t>Устранение засоров внутренних канализационных трубопроводов</t>
  </si>
  <si>
    <t>100 м трубы</t>
  </si>
  <si>
    <t>Заделка стыков соединений стояков внутренних водостоков</t>
  </si>
  <si>
    <t>100 соединений</t>
  </si>
  <si>
    <t>Набивка сальников компенсационных патрубков на стояках внутренних водостоков</t>
  </si>
  <si>
    <t>100 патрубков</t>
  </si>
  <si>
    <t>Очистка стальной щеткой старых чугунных труб и фасонных частей от нароста и грязи при диаметре трубопровода до 50 мм</t>
  </si>
  <si>
    <t>1 м трубопровода</t>
  </si>
  <si>
    <t>Очистка стальной щеткой старых чугунных труб и фасонных частей от нароста и грязи при диаметре трубопровода до 100 мм</t>
  </si>
  <si>
    <t>Замена пакетных переключателей вводно-распределительных устройств и шкафов</t>
  </si>
  <si>
    <t>1 переключатель</t>
  </si>
  <si>
    <t>Замена автоматического выключателя</t>
  </si>
  <si>
    <t>1 автоматический выключатель</t>
  </si>
  <si>
    <t>Замена реле</t>
  </si>
  <si>
    <t>1 реле</t>
  </si>
  <si>
    <t>Замена предохранителя</t>
  </si>
  <si>
    <t>1 предохранитель</t>
  </si>
  <si>
    <t>Ремонт, замена  внутридомовых электрических сетей</t>
  </si>
  <si>
    <t>1000 пог.м.</t>
  </si>
  <si>
    <t>Ремонт щитков</t>
  </si>
  <si>
    <t>1 щит</t>
  </si>
  <si>
    <t>Ремонт общедомового прибора учета электрической энергии</t>
  </si>
  <si>
    <t xml:space="preserve">1 прибор учета </t>
  </si>
  <si>
    <t>Замена выключателя</t>
  </si>
  <si>
    <t>1 выключатель</t>
  </si>
  <si>
    <t>Замена светильника с лампами накаливания или энергосберегающими лампами</t>
  </si>
  <si>
    <t>1 светильник</t>
  </si>
  <si>
    <t>Ремонт светильника с лампами накаливания или энергосберегающими лампами</t>
  </si>
  <si>
    <t>Замена люминесцентных ламп</t>
  </si>
  <si>
    <t>100 ламп</t>
  </si>
  <si>
    <t>Смена розеток</t>
  </si>
  <si>
    <t>Смена стекол на штапиках без замазки</t>
  </si>
  <si>
    <t>100 м фальца</t>
  </si>
  <si>
    <t>Осмотр территории вокруг здания и фундамента</t>
  </si>
  <si>
    <t>1000 кв.м. общей площади</t>
  </si>
  <si>
    <t>Осмотр кирпичных и железобетонных стен, фасадов</t>
  </si>
  <si>
    <t>Осмотр железобетонных перекрытий</t>
  </si>
  <si>
    <t>1000 кв.м. полов</t>
  </si>
  <si>
    <t>Осмотр железобетонных покрытий</t>
  </si>
  <si>
    <t>Осмотр внутренней отделки стен</t>
  </si>
  <si>
    <t>Осмотр заполнения дверных и оконных проемов</t>
  </si>
  <si>
    <t>Осмотр всех элементов рулонных кровель, водостоков</t>
  </si>
  <si>
    <t>1000 кв.м. кровли</t>
  </si>
  <si>
    <t>Осмотр системы мусороудаления</t>
  </si>
  <si>
    <t>100 пог.м. мусоропровода</t>
  </si>
  <si>
    <t>Осмотр водопровода, канализации и горячего водоснабжения</t>
  </si>
  <si>
    <t>100 квартир</t>
  </si>
  <si>
    <t>Промывка участка водопровода</t>
  </si>
  <si>
    <t>100 куб.м. здания</t>
  </si>
  <si>
    <t>Прочистка канализационного лежака</t>
  </si>
  <si>
    <t>100 м канализационного лежака</t>
  </si>
  <si>
    <t>Осмотр  электросети, арматуры, электрооборудования на лестничных клетках</t>
  </si>
  <si>
    <t>100 лестничных площадок</t>
  </si>
  <si>
    <t>Проверка изоляции электропроводки и ее укрепление</t>
  </si>
  <si>
    <t>Проверка заземления оболочки электрокабеля</t>
  </si>
  <si>
    <t>Замеры сопротивления изоляции проводов</t>
  </si>
  <si>
    <t xml:space="preserve">измерение 1         </t>
  </si>
  <si>
    <t>Осмотр внутриквартирных устройств системы центрального отопления</t>
  </si>
  <si>
    <t>1000 м2  площади помещений</t>
  </si>
  <si>
    <t>Осмотр устройства системы центрального отопления в чердачных и подвальных помещениях</t>
  </si>
  <si>
    <t>1000 м2 осматриваемых помещений</t>
  </si>
  <si>
    <t>Регулировка и наладка систем отопления</t>
  </si>
  <si>
    <t>1 здание</t>
  </si>
  <si>
    <t>Проверка на прогрев отопительных приборов с регулировкой</t>
  </si>
  <si>
    <t>100 приборов</t>
  </si>
  <si>
    <t>Промывка трубопроводов системы центрального отопления до 50 мм</t>
  </si>
  <si>
    <t>10 м трубопровода (100 м3 здания)</t>
  </si>
  <si>
    <t>Ликвидация воздушных пробок в стояке системы отопления</t>
  </si>
  <si>
    <t>100 стояков</t>
  </si>
  <si>
    <t>Визуальный осмотр узла учета и проверка наличия и нарушения пломб</t>
  </si>
  <si>
    <t>1 прибор учета</t>
  </si>
  <si>
    <t>Снятие и запись показаний с вычислителя в журнал</t>
  </si>
  <si>
    <t>Составление акта (при нарушении правил эксплуатации прибора) с представителями абонента и поставщиком</t>
  </si>
  <si>
    <t>Проверка работоспособности запорной арматуры и очистка фильтров</t>
  </si>
  <si>
    <t>1 фильтр</t>
  </si>
  <si>
    <t>Визуальный осмотр прибора учета воды диаметром 50-250 мм и проверка наличия и нарушения пломб</t>
  </si>
  <si>
    <t>Составление акта (при нарушении правил эксплуатации прибора)</t>
  </si>
  <si>
    <t>Визуальный осмотр и проверка наличия и нарушения пломб</t>
  </si>
  <si>
    <t>1 узел учета</t>
  </si>
  <si>
    <t>Проверка работоспособности запорной арматуры и очистка фильтра</t>
  </si>
  <si>
    <t>Установка (монтаж) прибора учета тепловой энергии, диаметром до 50 мм</t>
  </si>
  <si>
    <t>Снятие (демонтаж) прибора учета тепловой энергии, диаметром от 50 до 100 мм</t>
  </si>
  <si>
    <t>Окраска ковшей мусоропровода</t>
  </si>
  <si>
    <t>Замена отдельных элементов загрузочных клапанов</t>
  </si>
  <si>
    <t>1 клапан</t>
  </si>
  <si>
    <t>Устранение мелких неисправностей мусоропровода</t>
  </si>
  <si>
    <t>1 м мусоропровода</t>
  </si>
  <si>
    <t>Окраска ствола мусоропровода</t>
  </si>
  <si>
    <t>Санитарное содержание мест общего пользования, благоустройство придомовой территории и прочие работы</t>
  </si>
  <si>
    <t>Подметание лестничных площадок и маршей нижних трех этажей с предварительным их увлажнением (в доме с лифтами и мусоропроводом)</t>
  </si>
  <si>
    <t>100 м2  убираемой  площади</t>
  </si>
  <si>
    <t>Подметание лестничных площадок и маршей выше третьего этажа с предварительным их увлажнением (в доме с лифтами и мусоропроводом)</t>
  </si>
  <si>
    <t>100 м2 убираемой  площади</t>
  </si>
  <si>
    <t>Подметание мест перед разгрузочными камерами с предварительным их увлажнением (в доме с лифтами и мусоропроводом)</t>
  </si>
  <si>
    <t>100 м2  мест перед загрузочными клапанами</t>
  </si>
  <si>
    <t>Подметание кабин лифтов  с предварительным их увлажнением (в доме с лифтами и мусоропроводом)</t>
  </si>
  <si>
    <t>100 м2  лифтов</t>
  </si>
  <si>
    <t>Мытье  лестничных площадок и маршей нижних трех этажей (в доме с лифтами и мусоропроводом)</t>
  </si>
  <si>
    <t>Мытье  лестничных площадок и маршей  выше третьего этажа (в доме с лифтами и мусоропроводом)</t>
  </si>
  <si>
    <t>Мытье  лифтов (в доме с лифтами и мусоропроводом)</t>
  </si>
  <si>
    <t>Удаление мусора из мусороприемных камер с бункерами, расположенных на 1-ом этаже в домах до  10 этажей</t>
  </si>
  <si>
    <t>1 м3  ТБО</t>
  </si>
  <si>
    <t>Влажное подметание пола мусороприемных камер, расположенных на 1-ом этаже,  в домах  до 10 этажей</t>
  </si>
  <si>
    <t xml:space="preserve">100 м2  площади мусороприемных камер  </t>
  </si>
  <si>
    <t>Уборка в домах до 10 этажей мусороприемных камер, расположенных на 1-ом этаже,   с помощью шланга</t>
  </si>
  <si>
    <t>Дезинфекция всех элементов ствола мусоропровода вручную</t>
  </si>
  <si>
    <t>100 м мусоропровода</t>
  </si>
  <si>
    <t>Дезинфекция мусоросборников (переносных мусоросборников)</t>
  </si>
  <si>
    <t>10 переносных мусоросборников</t>
  </si>
  <si>
    <t>Мытье и протирка дверей  в помещениях общего пользования</t>
  </si>
  <si>
    <t>100 м2 дверей</t>
  </si>
  <si>
    <t>Мытье и протирка оконных рам и переплетов в помещениях общего пользования</t>
  </si>
  <si>
    <t>100 м2 оконных рам</t>
  </si>
  <si>
    <t>Мытье и протирка легкодоступных стекол в окнах  в помещениях общего пользования</t>
  </si>
  <si>
    <t>100 м2 окон</t>
  </si>
  <si>
    <t>Мытье и протирка труднодоступных стекол в окнах  в помещениях общего пользования</t>
  </si>
  <si>
    <t>Подметание  чердаков и подвалов без предварительного увлажнения</t>
  </si>
  <si>
    <t>100 м2 чердаков и подвалов</t>
  </si>
  <si>
    <t>Уборка мусора и транспортировкой мусора до 50 м</t>
  </si>
  <si>
    <t>1 м3  мусора</t>
  </si>
  <si>
    <t>Влажная протирка почтовых ящиков (с моющим средством)</t>
  </si>
  <si>
    <t>100 кв.м почтовых ящиков</t>
  </si>
  <si>
    <t>Влажная протирка шкафов для электросчетчиков слаботочных устройств  (с моющим средством)</t>
  </si>
  <si>
    <t>100 кв. м шкафов для электросчетчиков слаботочных устройств</t>
  </si>
  <si>
    <t>Влажная протирка перил лестниц (с моющим средством)</t>
  </si>
  <si>
    <t>100 кв.м. перил лестниц</t>
  </si>
  <si>
    <t>Обметание пыли с потолков</t>
  </si>
  <si>
    <t>100 кв. м. потолков</t>
  </si>
  <si>
    <t>Подметание в летний период  земельного участка с усовершенствованным покрытием 1 класса</t>
  </si>
  <si>
    <t>1 000 кв.м. территории</t>
  </si>
  <si>
    <t>Подметание в летний период  земельного участка без покрытия 1 класса</t>
  </si>
  <si>
    <t>Уборка газонов средней засоренности от листьев, сучьев, мусора</t>
  </si>
  <si>
    <t>100 000 кв.м. территории</t>
  </si>
  <si>
    <t>Уборка газонов от случайного мусора</t>
  </si>
  <si>
    <t>100 000 м2</t>
  </si>
  <si>
    <t>Очистка урн от мусора</t>
  </si>
  <si>
    <t>на 100 урн</t>
  </si>
  <si>
    <t>Вырезка сухих ветвей и поросли</t>
  </si>
  <si>
    <t>100 деревьев</t>
  </si>
  <si>
    <t>Формирование кроны кустарников</t>
  </si>
  <si>
    <t>1000 кустов</t>
  </si>
  <si>
    <t>Уборка детских и спортивных площадок</t>
  </si>
  <si>
    <t>1000 кв.м.</t>
  </si>
  <si>
    <t>Окраска скамьи без спинки с металлическими опорами</t>
  </si>
  <si>
    <t>скамья</t>
  </si>
  <si>
    <t>Окраска качелей-маятника</t>
  </si>
  <si>
    <t>качели</t>
  </si>
  <si>
    <t>Окраска качелей-балансира</t>
  </si>
  <si>
    <t>Окраска поверхности песочницы</t>
  </si>
  <si>
    <t>песочница</t>
  </si>
  <si>
    <t>Окраска лестницы</t>
  </si>
  <si>
    <t>лестница</t>
  </si>
  <si>
    <t>Окраска турника</t>
  </si>
  <si>
    <t>турник</t>
  </si>
  <si>
    <t>Окраска хоккейных ворот</t>
  </si>
  <si>
    <t>ворота</t>
  </si>
  <si>
    <t>Ремонт скамьи без спинки с металлическими опорами (скамьи чугунной со спинкой)</t>
  </si>
  <si>
    <t>Ремонт качелей-маятника</t>
  </si>
  <si>
    <t>Ремонт качелей-балансира</t>
  </si>
  <si>
    <t>Ремонт песочницы</t>
  </si>
  <si>
    <t>Ремонт лестницы</t>
  </si>
  <si>
    <t>Ремонт турника</t>
  </si>
  <si>
    <t>Ремонт хоккейных ворот</t>
  </si>
  <si>
    <t>Заполнение песочницы песком</t>
  </si>
  <si>
    <t>Сдвижка и подметание снега при отсутствии снегопада на придомовой территории с усовершенствованным покрытием 1 класса</t>
  </si>
  <si>
    <t>10 000 кв.м. территории</t>
  </si>
  <si>
    <t>Сдвижка и подметание снега при отсутствии снегопада на придомовой территории без покрытия 1 класса</t>
  </si>
  <si>
    <t>Сдвижка и подметание снега при снегопаде на придомовой территории с усовершенствованным покрытием 1 класса</t>
  </si>
  <si>
    <t>Очистка территории с усовершенствованным покрытием 1 класса от наледи без обработки противогололедными реагентами</t>
  </si>
  <si>
    <t>Подготовка смеси песка с хлоридами</t>
  </si>
  <si>
    <t>1 куб. м</t>
  </si>
  <si>
    <t>Посыпка территории I класса</t>
  </si>
  <si>
    <t>Транспортировка смеси песка с хлоридами от места складирования к месту посыпки</t>
  </si>
  <si>
    <t>1 куб.м</t>
  </si>
  <si>
    <t>Очистка от наледи и льда крышек люков пожарных колодцев</t>
  </si>
  <si>
    <t>1 шт</t>
  </si>
  <si>
    <t>Очистка кровли от снега, сбивание сосулек</t>
  </si>
  <si>
    <t>100 кв.м. кровли</t>
  </si>
  <si>
    <t>Очистка кровли от мусора, листьев</t>
  </si>
  <si>
    <t>100 кв.м кровли</t>
  </si>
  <si>
    <t>Скалывание и уборка льда и уплотненного снега толщиной слоя свыше 2 см</t>
  </si>
  <si>
    <t>1000 м2</t>
  </si>
  <si>
    <t>Срезание и сдвигание уплотненного снега толщиной слоя до 2 см плугом с одновременным подметанием щеткой</t>
  </si>
  <si>
    <t>Уборка крыльца и площадки перед входом в подъезд (в холодный период года)</t>
  </si>
  <si>
    <t>100 кв.м</t>
  </si>
  <si>
    <t>Уборка крыльца и площадки перед входом в подъезд (в теплый период года)</t>
  </si>
  <si>
    <t>Очистка металлической решетки и приямка (в теплый период)</t>
  </si>
  <si>
    <t>1 приямок</t>
  </si>
  <si>
    <t>Очистка контейнерной площадки в холодный период</t>
  </si>
  <si>
    <t>Уборка мусора на  контейнерных  площадках</t>
  </si>
  <si>
    <t>на 100 кв.м.</t>
  </si>
  <si>
    <t>Погрузка мусора на автотранспорт вручную</t>
  </si>
  <si>
    <t>100 куб.м</t>
  </si>
  <si>
    <t>Кoнсeрвация/рaскoнсeрвация системы отопления</t>
  </si>
  <si>
    <t>ИТОГО ПО СМЕТЕ:</t>
  </si>
  <si>
    <t>ИТОГО ПО СМЕТЕ</t>
  </si>
  <si>
    <t>Трудовые ресурсы, руб.:</t>
  </si>
  <si>
    <t>Накладные расходы, руб.:</t>
  </si>
  <si>
    <t>Материальные ресурсы, руб.:</t>
  </si>
  <si>
    <t>Прибыль, руб.:</t>
  </si>
  <si>
    <t>Машины/механизмы, руб.:</t>
  </si>
  <si>
    <t>Расходы на управление, руб.:</t>
  </si>
  <si>
    <t>ИТОГО, руб.:</t>
  </si>
  <si>
    <t>Смета расходов. Стоимость и количество ресурсов.</t>
  </si>
  <si>
    <t>Ресурс</t>
  </si>
  <si>
    <t>Ед. измерения</t>
  </si>
  <si>
    <t>Цена, руб.</t>
  </si>
  <si>
    <t>Трудовые ресурсы</t>
  </si>
  <si>
    <t>Асфальтобетонщик  1 разряда</t>
  </si>
  <si>
    <t>чел.-час</t>
  </si>
  <si>
    <t>Асфальтобетонщик  2 разряда</t>
  </si>
  <si>
    <t>Асфальтобетонщик  3 разряда</t>
  </si>
  <si>
    <t>Асфальтобетонщик  4 разряда</t>
  </si>
  <si>
    <t>Бетонщик 2 разряда</t>
  </si>
  <si>
    <t>Бетонщик 3 разряда</t>
  </si>
  <si>
    <t>Бетонщик 4 разряда</t>
  </si>
  <si>
    <t>Дворник 1 разряда</t>
  </si>
  <si>
    <t>Изолировщик на гидроизоляции 2 разряда</t>
  </si>
  <si>
    <t>Изолировщик на гидроизоляции 3 разряда</t>
  </si>
  <si>
    <t>Изолировщик на гидроизоляции 4 разряда</t>
  </si>
  <si>
    <t>Изолировщик на термоизоляции 2 разряда</t>
  </si>
  <si>
    <t>Изолировщик на термоизоляции 3 разряда</t>
  </si>
  <si>
    <t>Каменщик 2 разряда</t>
  </si>
  <si>
    <t>Каменщик 3 разряда</t>
  </si>
  <si>
    <t>Каменщик 4 разряда</t>
  </si>
  <si>
    <t>Камнетес 4 разряда</t>
  </si>
  <si>
    <t>Контролер водопроводного хозяйства 3 разряда</t>
  </si>
  <si>
    <t>Кровельщик по рулонным кровлям и по кровлям из штучных материалов 2 разряда</t>
  </si>
  <si>
    <t>Кровельщик по рулонным кровлям и по кровлям из штучных материалов 3 разряда</t>
  </si>
  <si>
    <t>Кровельщик по рулонным кровлям и по кровлям из штучных материалов 4 разряда</t>
  </si>
  <si>
    <t>Кровельщик по стальным кровлям 2 разряда</t>
  </si>
  <si>
    <t>Кровельщик по стальным кровлям 3 разряда</t>
  </si>
  <si>
    <t>Кровельщик по стальным кровлям 4 разряда</t>
  </si>
  <si>
    <t>Маляр 2 разряда</t>
  </si>
  <si>
    <t>Маляр 3 разряда</t>
  </si>
  <si>
    <t>Маляр 3.1 разряда</t>
  </si>
  <si>
    <t>Маляр 4 разряда</t>
  </si>
  <si>
    <t>Монтажник санитарно-технических систем и оборудования 3 разряда</t>
  </si>
  <si>
    <t>Монтажник санитарно-технических систем и оборудования 4 разряда</t>
  </si>
  <si>
    <t>Монтажник санитарно-технических систем и оборудования 5 разряда</t>
  </si>
  <si>
    <t>Наладчик контрольно-измерительных приборов и автоматики 4 разряда</t>
  </si>
  <si>
    <t>Облицовщик-плиточник 3 разряда</t>
  </si>
  <si>
    <t>Плотник 2 разряда</t>
  </si>
  <si>
    <t>Подсобный рабочий 1 разряда</t>
  </si>
  <si>
    <t>Рабочий зеленого хозяйства 3 разряда</t>
  </si>
  <si>
    <t>Рабочий зеленого хозяйства 5 разряда</t>
  </si>
  <si>
    <t>Рабочий по комплексному обслуживанию и ремонту зданий 2 разряда</t>
  </si>
  <si>
    <t>Рабочий по комплексному обслуживанию и ремонту зданий 4 разряда</t>
  </si>
  <si>
    <t>Слесарь по контрольно-измерительным приборам и автоматике 4 разряда</t>
  </si>
  <si>
    <t>Слесарь по обслуживанию тепловых пунктов 4 разряда</t>
  </si>
  <si>
    <t>Слесарь строительный 3 разряда</t>
  </si>
  <si>
    <t>Слесарь-ремонтник 3 разряда</t>
  </si>
  <si>
    <t>Слесарь-сантехник 2 разряда</t>
  </si>
  <si>
    <t>Слесарь-сантехник 3 разряда</t>
  </si>
  <si>
    <t>Слесарь-сантехник 4 разряда</t>
  </si>
  <si>
    <t>Слесарь-сантехник 5 разряда</t>
  </si>
  <si>
    <t>Слесарь-сантехник 6 разряда</t>
  </si>
  <si>
    <t>Стеклопротирщик 2 разряда</t>
  </si>
  <si>
    <t>Стекольщик 2 разряда</t>
  </si>
  <si>
    <t>Стекольщик 3 разряда</t>
  </si>
  <si>
    <t>Стекольщик 3.1 разряда</t>
  </si>
  <si>
    <t>Столяр строительный 3 разряда</t>
  </si>
  <si>
    <t>Столяр строительный 3.5 разряда</t>
  </si>
  <si>
    <t>Столяр строительный 4 разряда</t>
  </si>
  <si>
    <t>Столяр строительный 4.2 разряда</t>
  </si>
  <si>
    <t>Уборщик мусоропроводов 1 разряда</t>
  </si>
  <si>
    <t>Уборщик мусоропроводов 2 разряда</t>
  </si>
  <si>
    <t>Уборщик мусоропроводов 4 разряда</t>
  </si>
  <si>
    <t>Штукатур 2 разряда</t>
  </si>
  <si>
    <t>Штукатур 3 разряда</t>
  </si>
  <si>
    <t>Штукатур 3.4 разряда</t>
  </si>
  <si>
    <t>Штукатур 4 разряда</t>
  </si>
  <si>
    <t>Электрогазосварщик 2 разряда</t>
  </si>
  <si>
    <t>Электрогазосварщик 3.6 разряда</t>
  </si>
  <si>
    <t>Электрогазосварщик 4 разряда</t>
  </si>
  <si>
    <t>Электрогазосварщик 6 разряда</t>
  </si>
  <si>
    <t>Электромонтер по ремонту и обслуживанию электрооборудования 2 разряда</t>
  </si>
  <si>
    <t>Электромонтер по ремонту и обслуживанию электрооборудования 3 разряда</t>
  </si>
  <si>
    <t>Электромонтер по ремонту и обслуживанию электрооборудования 3.5 разряда</t>
  </si>
  <si>
    <t>Электромонтер по ремонту и обслуживанию электрооборудования 4 разряда</t>
  </si>
  <si>
    <t>ИТОГО:</t>
  </si>
  <si>
    <t>Материальные ресурсы</t>
  </si>
  <si>
    <t xml:space="preserve">Алебастр </t>
  </si>
  <si>
    <t>кг</t>
  </si>
  <si>
    <t>Асбест</t>
  </si>
  <si>
    <t>т</t>
  </si>
  <si>
    <t xml:space="preserve">Асфальт литой (жесткий) для покрытий тротуаров </t>
  </si>
  <si>
    <t>Ацетилен газообразный технический</t>
  </si>
  <si>
    <t>м3</t>
  </si>
  <si>
    <t>Белила</t>
  </si>
  <si>
    <t>Бетон тяжелый, класс В 30 (М400)</t>
  </si>
  <si>
    <t>Бетон тяжелый, крупность заполнителя 10 мм, класс В 30 (М400)</t>
  </si>
  <si>
    <t>Битумы нефтяные строительные марки БН-90/10</t>
  </si>
  <si>
    <t>Болты с  гайками и шайбами для санитарно-технических работ диаметром 20-22 мм</t>
  </si>
  <si>
    <t>Болты с гайками и шайбами для санитарно-технических работ, диаметром 12 мм</t>
  </si>
  <si>
    <t>Болты с гайками и шайбами для санитарно-технических работ, диаметром 16 мм</t>
  </si>
  <si>
    <t>Болты с гайками и шайбами строительные</t>
  </si>
  <si>
    <t>Бруски обрезные длиной 2-3.75 м, шириной 75-150 мм, толщиной 40-75 мм II сорта</t>
  </si>
  <si>
    <t>Вентили проходные муфтовые 15КЧ18Р для воды, давлением 1.6 МПа (16 кгс/см2), диаметром 40</t>
  </si>
  <si>
    <t>шт.</t>
  </si>
  <si>
    <t>Вентиль обратный муфтовый диаметром до 20 мм</t>
  </si>
  <si>
    <t>Вентиль обратный муфтовый диаметром до 32 мм</t>
  </si>
  <si>
    <t>Вентиль обратный муфтовый диаметром до 50 мм</t>
  </si>
  <si>
    <t>Веревка техническая из пенькового волокна</t>
  </si>
  <si>
    <t>Ветонит 5000</t>
  </si>
  <si>
    <t>Ветошь</t>
  </si>
  <si>
    <t xml:space="preserve">Винты с гайками </t>
  </si>
  <si>
    <t>комплект</t>
  </si>
  <si>
    <t>Винты самонарезающие СМ1-35</t>
  </si>
  <si>
    <t>Вода водопроводная</t>
  </si>
  <si>
    <t>Войлок строительный</t>
  </si>
  <si>
    <t>Воронка сливная диаметром 150 мм</t>
  </si>
  <si>
    <t>Втулка полиэтиленовая изолирующая</t>
  </si>
  <si>
    <t>Втулки изолирующие текстолитовые</t>
  </si>
  <si>
    <t>1000 шт.</t>
  </si>
  <si>
    <t>Выключатели автоматические</t>
  </si>
  <si>
    <t>Выключатель одноклавишный</t>
  </si>
  <si>
    <t>10 шт.</t>
  </si>
  <si>
    <t>Гвозди кровельные оцинкованные</t>
  </si>
  <si>
    <t>Гвозди отделочные круглые 1,6 x 25 мм</t>
  </si>
  <si>
    <t>Гвозди строительные</t>
  </si>
  <si>
    <t>Гвозди строительные с плоской головкой 1,8 x 50 мм</t>
  </si>
  <si>
    <t>Гвозди строительные с плоской головкой 1,8 x60 мм</t>
  </si>
  <si>
    <t xml:space="preserve">Гвозди толевые  круглые 3,0х40 мм </t>
  </si>
  <si>
    <t>Гипсовые вяжущие Г-3</t>
  </si>
  <si>
    <t>Готовый поручень</t>
  </si>
  <si>
    <t>пог. м</t>
  </si>
  <si>
    <t>Датчик давления</t>
  </si>
  <si>
    <t>Датчик температуры</t>
  </si>
  <si>
    <t>Дверное полотно</t>
  </si>
  <si>
    <t>Дисперсия поливинилацетатная гомополимерная грубодисперсная непластифицированная (эмульсия поливинилацетатная)</t>
  </si>
  <si>
    <t>Доводчик дверной для деревянной двери</t>
  </si>
  <si>
    <t>Доски необрезные длиной 4 - 6,5 м, все ширины, толщиной 25 мм IV сорта</t>
  </si>
  <si>
    <t>Доски обрезные длиной 4 - 6,5 м, шириной 75 - 150 мм,толщиной 25 мм II сорта</t>
  </si>
  <si>
    <t>Дрань штукатурная длиной 800 - 1000 мм, шириной 19 - 22 мм, толщиной 4 мм</t>
  </si>
  <si>
    <t>Дрова разделанные длиной 1,5 - 2 м: ель, кедр, пихта, осина, липа</t>
  </si>
  <si>
    <t>Дюбели с калиброванной головкой (в обоймах) с цинковым хроматированным покрытием 2.5х48.5 мм</t>
  </si>
  <si>
    <t>Дюбели с калиброванной головкой (в обоймах) с цинковым хроматированным покрытием 3х78.5 мм</t>
  </si>
  <si>
    <t>Дюбели с калиброванной головкой (в обоймах) с цинковым хроматированным покрытием 4х100 мм</t>
  </si>
  <si>
    <t>Задвижка диаметром 50 мм</t>
  </si>
  <si>
    <t>Задвижка накладная</t>
  </si>
  <si>
    <t>Задвижка параллельная фланцевая с шпинделем, для воды и  давлением 1 Мпа (10 кгс/см2) 30Ч6БР диаметром 100 мм</t>
  </si>
  <si>
    <t>Известь строительная негашеная комовая, сорт I</t>
  </si>
  <si>
    <t>Известь строительная негашеная хлорная марки А</t>
  </si>
  <si>
    <t>Изделия резиновые технические морозостойкие</t>
  </si>
  <si>
    <t>Изол</t>
  </si>
  <si>
    <t>м2</t>
  </si>
  <si>
    <t>Канаты пеньковые пропитанные</t>
  </si>
  <si>
    <t>Карбид кальция для кусков 2/25</t>
  </si>
  <si>
    <t xml:space="preserve">Керосин для технических целей марок КТ-1, КТ-2 </t>
  </si>
  <si>
    <t>Кирпич силикатный полнотелый одинарный, размером 250х120х65 мм, марка 300</t>
  </si>
  <si>
    <t>Кислород технический газообразный</t>
  </si>
  <si>
    <t>Клей 88-СА</t>
  </si>
  <si>
    <t>Клей казеиновый</t>
  </si>
  <si>
    <t>Клей столярный сухой</t>
  </si>
  <si>
    <t xml:space="preserve">Колер масляный </t>
  </si>
  <si>
    <t xml:space="preserve">Кольцо уплотнительное (хомут) </t>
  </si>
  <si>
    <t xml:space="preserve">Краны для спуска воздуха из системы </t>
  </si>
  <si>
    <t>Краны переходные</t>
  </si>
  <si>
    <t>Краски казеиновые
 0 разряда</t>
  </si>
  <si>
    <t>Краски масляные земляные  МА-0115: мумия, сурик  железный</t>
  </si>
  <si>
    <t>Краски масляные и алкидные густотертые: цинковые МА-011-2</t>
  </si>
  <si>
    <t>Краски масляные и алкидные густотертые: цинковые МА-011-2Н</t>
  </si>
  <si>
    <t>Краски масляные и алкидные цветные, готовые к применению для наружных работ МА-15</t>
  </si>
  <si>
    <t>Краски масляные и алкидные, готовые к применению белила литопонные: МА-22</t>
  </si>
  <si>
    <t>Краски Э-ВС-17 сухие для внутренних работ</t>
  </si>
  <si>
    <t>Крафт-бумага</t>
  </si>
  <si>
    <t>Крепления для трубопроводов: кронштейны, планки, хомуты</t>
  </si>
  <si>
    <t>Лак  масляный</t>
  </si>
  <si>
    <t>Лак битумный БТ-123</t>
  </si>
  <si>
    <t>Лампа люминесцентная</t>
  </si>
  <si>
    <t>Лампа накаливания газопольная в прозрачной колбе МО 40-60</t>
  </si>
  <si>
    <t xml:space="preserve">Лен трепаный </t>
  </si>
  <si>
    <t xml:space="preserve">Лента изоляционная прорезиненная односторонняя ширина 20 мм, толщина 0,25-0,35 мм </t>
  </si>
  <si>
    <t xml:space="preserve">Лента киперная </t>
  </si>
  <si>
    <t>Листы латунные марки Л85 холоднокатаные толщиной 1 мм, размером 710 x 1410, 800 x 2000 мм</t>
  </si>
  <si>
    <t xml:space="preserve">Манометры общего назначения с трехходовым краном ОБМ1-100 </t>
  </si>
  <si>
    <t>компл.</t>
  </si>
  <si>
    <t xml:space="preserve">Масло минеральное </t>
  </si>
  <si>
    <t xml:space="preserve">Масса корундовая набивная марки МК-90                   </t>
  </si>
  <si>
    <t>Мастика битумная кровельная горячая</t>
  </si>
  <si>
    <t>Мастика герметизирующая нетвердеющая &lt;Гэлан&gt;</t>
  </si>
  <si>
    <t>Мастика Изол</t>
  </si>
  <si>
    <t>Мастика клеящая каучуковая КН-2</t>
  </si>
  <si>
    <t>Мастика тиоколовая строительного назначения КБ-0,5</t>
  </si>
  <si>
    <t>Маты на крафт-бумаге Ламелла</t>
  </si>
  <si>
    <t>Маты прошивные из супертонкого стекловолокна без связующего толщиной 50 мм</t>
  </si>
  <si>
    <t>Мел природный молотый</t>
  </si>
  <si>
    <t>Металлические изделия</t>
  </si>
  <si>
    <t>Мешки полиэтиленовые, 60 л</t>
  </si>
  <si>
    <t>Моющее средство</t>
  </si>
  <si>
    <t>Мыло</t>
  </si>
  <si>
    <t>Мыло твердое хозяйственное 72%</t>
  </si>
  <si>
    <t xml:space="preserve">Набивка сальника водяного насоса с двухслойным оплетением сердечника, квадратная, диаметром 12 мм </t>
  </si>
  <si>
    <t>Накладка резиновая эластичная</t>
  </si>
  <si>
    <t>Натр едкий (сода каустическая) технический марки ГР</t>
  </si>
  <si>
    <t>Олифа комбинированная К-3</t>
  </si>
  <si>
    <t>Олифа натуральная</t>
  </si>
  <si>
    <t xml:space="preserve">Осколки природных камней </t>
  </si>
  <si>
    <t>Очес льняной</t>
  </si>
  <si>
    <t>Пакетный переключатель</t>
  </si>
  <si>
    <t>Пакля пропитанная</t>
  </si>
  <si>
    <t>Паронит</t>
  </si>
  <si>
    <t>Паста меловая ПМ-1</t>
  </si>
  <si>
    <t>Патроны потолочные</t>
  </si>
  <si>
    <t>Пемза шлаковая (щебень пористый из металлургического шлака), марка 600,фракция от 5 до 10 мм</t>
  </si>
  <si>
    <t>Первичный преобразователь расхода</t>
  </si>
  <si>
    <t>Пескосоляная смесь</t>
  </si>
  <si>
    <t xml:space="preserve">Песок природный для строительных работ средний </t>
  </si>
  <si>
    <t>Петля врезная</t>
  </si>
  <si>
    <t>Петля накладная</t>
  </si>
  <si>
    <t>Пигмент тертый</t>
  </si>
  <si>
    <t xml:space="preserve">Плита площадная </t>
  </si>
  <si>
    <t>Плитки керамические для полов гладкие неглазурованные одноцветные с красителем квадратные и прямоугольные</t>
  </si>
  <si>
    <t>Поковки простые строительные (скобы, закрепы, хомуты и т.п.) массой до 1,6 кг</t>
  </si>
  <si>
    <t>Полиэтиленовые мешки, 200 л</t>
  </si>
  <si>
    <t>Портландцемент общестроительного назначения бездобавочный марки 400</t>
  </si>
  <si>
    <t>Портландцемент пуццолановый  марки М400</t>
  </si>
  <si>
    <t>Праймер битумный</t>
  </si>
  <si>
    <t>Предохранители плавкие</t>
  </si>
  <si>
    <t>Преобразователь давления в комплекте</t>
  </si>
  <si>
    <t>Преобразователь расхода в комплекте д. до 50 мм</t>
  </si>
  <si>
    <t xml:space="preserve">Прессшпан листовой, марки А </t>
  </si>
  <si>
    <t>Провода монтажные одножильные</t>
  </si>
  <si>
    <t>1000 пог. м.</t>
  </si>
  <si>
    <t xml:space="preserve">Провода монтажные с волокнистой или пленочной и поливинилхлоридной изоляцией марки МГШВЭ экранированные с двумя жилами из медной луженой проволоки сечением 0,50 мм </t>
  </si>
  <si>
    <t xml:space="preserve">Проволока арматурная из низкоуглеродистой стали Вр-I диаметром 3 мм </t>
  </si>
  <si>
    <t>Проволока канатная оцинкованная диаметром 3 мм</t>
  </si>
  <si>
    <t>Проволока сварочная легированная диаметром 4 мм</t>
  </si>
  <si>
    <t>Проволока стальная низкоуглеродистая разного назначения оцинкованная диаметром 0,55 мм</t>
  </si>
  <si>
    <t>Прокладки для клапана</t>
  </si>
  <si>
    <t>Прокладки из паронита марки ПМБ, толщиной 1 мм, диаметром 50 мм</t>
  </si>
  <si>
    <t>Прокладки из паронита марки ПМБ, толщиной 3 мм диаметром 300 мм</t>
  </si>
  <si>
    <t>Прокладки из паронита, толщиной 1 мм, д. 100 мм</t>
  </si>
  <si>
    <t>Прокладки ПРП уплотнительные, диаметром 30 мм</t>
  </si>
  <si>
    <t>Пропан-бутан смесь техническая</t>
  </si>
  <si>
    <t>Пружины</t>
  </si>
  <si>
    <t xml:space="preserve">Раствор асбоцементный </t>
  </si>
  <si>
    <t>Раствор готовый кладочный цементно-известковый М25</t>
  </si>
  <si>
    <t>Раствор готовый кладочный цементно-известковый М50</t>
  </si>
  <si>
    <t>Раствор готовый кладочный цементный М100</t>
  </si>
  <si>
    <t>Раствор готовый кладочный цементный М25</t>
  </si>
  <si>
    <t>Раствор готовый кладочный цементный М400</t>
  </si>
  <si>
    <t>Раствор готовый кладочный цементный М50</t>
  </si>
  <si>
    <t>Раствор готовый отделочный тяжелый, цементно-известковый 1:1:6</t>
  </si>
  <si>
    <t>Раствор готовый отделочный тяжелый, цементно-известковый 1:1:9</t>
  </si>
  <si>
    <t>Раствор готовый отделочный тяжелый, цементный 1:2</t>
  </si>
  <si>
    <t>Растворитель - бензин</t>
  </si>
  <si>
    <t>Регулятор давления</t>
  </si>
  <si>
    <t>Регулятор расхода</t>
  </si>
  <si>
    <t>Резина листовая вулканизованная цветная</t>
  </si>
  <si>
    <t>Резинотехнические изделия: пластина губчатая из резины АФ-1</t>
  </si>
  <si>
    <t>Реле времени</t>
  </si>
  <si>
    <t>Решетки жалюзийные неподвижные штампованные размером 150x490 мм</t>
  </si>
  <si>
    <t>Розетка потолочная</t>
  </si>
  <si>
    <t>Розетка штепсельная</t>
  </si>
  <si>
    <t>Рубероид подкладочный с пылевидной посыпкой РПП-300а</t>
  </si>
  <si>
    <t>Ручка-скоба из алюминиевого  сплава анодированная</t>
  </si>
  <si>
    <t>Ручки для клапана</t>
  </si>
  <si>
    <t>Светильник настенный с лампами накаливания</t>
  </si>
  <si>
    <t xml:space="preserve">Сгоны стальные с муфтой и контргайкой, диаметром 20 мм   </t>
  </si>
  <si>
    <t>Сгоны стальные с муфтой и контргайкой, диаметром 32 мм</t>
  </si>
  <si>
    <t>Сгоны стальные с муфтой и контргайкой, диаметром 50 мм</t>
  </si>
  <si>
    <t>Сетка плетеная одинарная с квадратной ячейкой 12 мм из  проволоки диаметром 1,4 мм</t>
  </si>
  <si>
    <t xml:space="preserve">Сжим ответвительный </t>
  </si>
  <si>
    <t>Сиккатив жирно-кислотный ЖК-1</t>
  </si>
  <si>
    <t>Скипидар живичный</t>
  </si>
  <si>
    <t>Сталь конструкционная, марка стали 20-1А, круглая диаметром 20 мм</t>
  </si>
  <si>
    <t>Сталь круглая коррозионно-стойкая и жаростойкая марки 12Х18Н10Т диаметром 16 мм</t>
  </si>
  <si>
    <t>Сталь листовая оцинкованная толщиной листа 0,7 мм</t>
  </si>
  <si>
    <t>Стекло листовое площадью до 1.0 м2, 1 группы, толщиной 3 мм марки М1</t>
  </si>
  <si>
    <t>Стекло приборное</t>
  </si>
  <si>
    <t xml:space="preserve">Стекло строительное профильное бесцветное коробчатого сечения </t>
  </si>
  <si>
    <t>Сурик железный тертый</t>
  </si>
  <si>
    <t>Сурик свинцовый тертый</t>
  </si>
  <si>
    <t>Счетчик воды MTKI с импульсным выходом диаметром 25- 50 мм</t>
  </si>
  <si>
    <t>Тальк молотый I сорта</t>
  </si>
  <si>
    <t>Тепловычислитель в комплекте</t>
  </si>
  <si>
    <t>Термометр прямой (угловой) ртутный (ножка 66 мм) до 160 град С в оправе</t>
  </si>
  <si>
    <t>Термопреобразователь в комплекте</t>
  </si>
  <si>
    <t>Ткань мешочная</t>
  </si>
  <si>
    <t>10 м2</t>
  </si>
  <si>
    <t>Ткань хлопчатобумажная техническая</t>
  </si>
  <si>
    <t>Толстолистовой горячекатаный прокат в листах с обрезными кромками толщиной 9 - 12 мм, шириной свыше 1400 до 1500 мм, сталь С255</t>
  </si>
  <si>
    <t>Толь с крупнозернистой посыпкой гидроизоляционный марки ТГ-350</t>
  </si>
  <si>
    <t>Трансформатор</t>
  </si>
  <si>
    <t>Трубопровод из стальных электросварных труб д. 89 мм</t>
  </si>
  <si>
    <t>Трубопровод из стальных электросварных труб, д. 108 мм</t>
  </si>
  <si>
    <t>Трубопровод из стальных электросварных труб, д. 57 мм</t>
  </si>
  <si>
    <t>Трубопроводы канализационные из полиэтиленовых труб высокой плотности с гильзами диаметром 100 мм</t>
  </si>
  <si>
    <t>Трубопроводы канализационные из полиэтиленовых труб высокой плотности с гильзами диаметром 50 мм</t>
  </si>
  <si>
    <t>Трубы стальные сварные водогазопроводные с резьбой оцинкованные обыкновенные диаметр условного прохода 40 мм, толщина стенки 3.5 мм</t>
  </si>
  <si>
    <t>Трубы стальные сварные водогазопроводные с резьбой оцинкованные обыкновенные диаметр условного прохода 50 мм, толщина стенки 3.5 мм</t>
  </si>
  <si>
    <t>Трубы стальные сварные водогазопроводные с резьбой оцинкованные обыкновенные, диаметр условного прохода 65 мм, толщина стенки 4 мм</t>
  </si>
  <si>
    <t>Трубы стальные сварные водогазопроводные с резьбой черные обыкновенные (неоцинкованные) диаметр условного прохода 80 мм, толщина стенки 4 мм</t>
  </si>
  <si>
    <t>м</t>
  </si>
  <si>
    <t>Угольники оконные 50 x 50 мм</t>
  </si>
  <si>
    <t>Фанера клееная марки ФК и ФБА, сорт В/ВВ, толщиной 5 - 7 мм</t>
  </si>
  <si>
    <t>Фильтры для очистки воды в трубопроводах систем отопления</t>
  </si>
  <si>
    <t>Фланцы стальные плоские приварные из стали ВСт3сп2,  ВСт3сп3; давлением 0.1 и 0.25  МПа (1 и 2.5 кгс/см2),   диаметром 15 мм</t>
  </si>
  <si>
    <t>Цемент глиноземистый марки 400</t>
  </si>
  <si>
    <t>Шкурка шлифовальная двухслойная с зернистостью 40-25</t>
  </si>
  <si>
    <t>Шнур полиамидный крученый диаметром 2 мм</t>
  </si>
  <si>
    <t>Шпатлевка клеевая</t>
  </si>
  <si>
    <t>Шпатлевка масляно-клеевая</t>
  </si>
  <si>
    <t>Штапики</t>
  </si>
  <si>
    <t>Шурупы с полукруглой головкой 3,5 x 35 мм</t>
  </si>
  <si>
    <t>Электроды диаметром 5 мм Э42</t>
  </si>
  <si>
    <t>Электроды диаметром 6 мм Э42</t>
  </si>
  <si>
    <t>Специнвентарь</t>
  </si>
  <si>
    <t>Ведро  оцинкованное, 12 л</t>
  </si>
  <si>
    <t xml:space="preserve">Веник обыкновенный </t>
  </si>
  <si>
    <t>Грабли</t>
  </si>
  <si>
    <t>Лопата совковая</t>
  </si>
  <si>
    <t>Лопата штыковая</t>
  </si>
  <si>
    <t>Метла березовая</t>
  </si>
  <si>
    <t>Метла полипропиленовая плоская с черен.</t>
  </si>
  <si>
    <t>Скребок-ледоруб</t>
  </si>
  <si>
    <t>Совок металлический</t>
  </si>
  <si>
    <t>Тележка</t>
  </si>
  <si>
    <t xml:space="preserve">Швабра </t>
  </si>
  <si>
    <t xml:space="preserve">Шланг поливочный </t>
  </si>
  <si>
    <t>пог.м.</t>
  </si>
  <si>
    <t>Щетка д/пола 280 мм с черенком на резьбе 1,2 м.</t>
  </si>
  <si>
    <t xml:space="preserve">Щетка для мытья окон </t>
  </si>
  <si>
    <t>Машины/Механизмы</t>
  </si>
  <si>
    <t>Аппарат для газовой сварки и резки</t>
  </si>
  <si>
    <t>маш.-час.</t>
  </si>
  <si>
    <t>Дрели электрические 0 разряда</t>
  </si>
  <si>
    <t>маш.-час</t>
  </si>
  <si>
    <t>Компрессор передвижной с двигателем внутреннего сгорания давлением до 686 кПа (7 ат) до 5 м3/мин</t>
  </si>
  <si>
    <t>Котлы битумные передвижные 400 л
 0 разряда</t>
  </si>
  <si>
    <t>Лебедки электрические тяговым усилием до 5,79 кН (0,59 т)</t>
  </si>
  <si>
    <t>Люлька 0 разряда</t>
  </si>
  <si>
    <t>Машина дорожная комбинированная (до 100 л.с.)</t>
  </si>
  <si>
    <t>Насосы мощностью 4 кВт</t>
  </si>
  <si>
    <t>Подъемники мачтовые</t>
  </si>
  <si>
    <t>Пылесос промышленный</t>
  </si>
  <si>
    <t>Растворосмесители передвижные 0,5 т</t>
  </si>
  <si>
    <t>Трактор (до 100 л.с.)</t>
  </si>
  <si>
    <t>Установки для сварки ручной дуговой (постоянного тока)</t>
  </si>
  <si>
    <t>Шуруповерт 0 разряда</t>
  </si>
  <si>
    <t>с лифтом и мусоропроводом.</t>
  </si>
  <si>
    <t>Периодичность в год</t>
  </si>
  <si>
    <t>Тариф на руб./1 м2</t>
  </si>
  <si>
    <t>1.</t>
  </si>
  <si>
    <t>Фундаменты</t>
  </si>
  <si>
    <t xml:space="preserve"> в по мере необходимости</t>
  </si>
  <si>
    <t>Стены (наружние, внутренние)</t>
  </si>
  <si>
    <t>Крыши, кровли</t>
  </si>
  <si>
    <t>Оконные и дверные проемы</t>
  </si>
  <si>
    <t>Лестницы</t>
  </si>
  <si>
    <t>2.</t>
  </si>
  <si>
    <t>Система теплоснабжения</t>
  </si>
  <si>
    <t>Система холодного и горячего водоснабжения</t>
  </si>
  <si>
    <t>Система водоотведения</t>
  </si>
  <si>
    <t>Система электроснабжения</t>
  </si>
  <si>
    <t>3.</t>
  </si>
  <si>
    <t>Подготовка  дома к сезонной эксплуатации, проведение тех.осмотров</t>
  </si>
  <si>
    <t>2 раза в год</t>
  </si>
  <si>
    <t>4.</t>
  </si>
  <si>
    <t>Содержание мест общего пользов., благоустройство, прочие работы</t>
  </si>
  <si>
    <t>Уборка подъездов</t>
  </si>
  <si>
    <t xml:space="preserve">Подметание лестничных площадок и маршей первых этажей с предварительным их увлажнением </t>
  </si>
  <si>
    <t>3 раза в неделю</t>
  </si>
  <si>
    <t>Подметание лестничных площадок и маршей выше первого этажа с предварительным их увлажнением</t>
  </si>
  <si>
    <t>1 раз в неделю</t>
  </si>
  <si>
    <t xml:space="preserve">Подметание кабин лифтов  с предварительным их увлажнением </t>
  </si>
  <si>
    <t xml:space="preserve">Мытье  лестничных площадок и маршей первых этажей </t>
  </si>
  <si>
    <t>1раз в неделю</t>
  </si>
  <si>
    <t>Мытье  лестничных площадок и маршей  выше первого этажа</t>
  </si>
  <si>
    <t>1 раз в месяц (лето)</t>
  </si>
  <si>
    <t xml:space="preserve">Мытье  лифтов </t>
  </si>
  <si>
    <t>Уборка мусоропроводов</t>
  </si>
  <si>
    <t xml:space="preserve">Удаление мусора из мусороприемных камер </t>
  </si>
  <si>
    <t xml:space="preserve">Влажное подметание пола мусороприемных камер </t>
  </si>
  <si>
    <t>Уборка земельного участка</t>
  </si>
  <si>
    <t xml:space="preserve">Подметание в летний период  земельного участка с усовершенствованным покрытием </t>
  </si>
  <si>
    <t>Уборка в летний период  земельного участка без покрытия</t>
  </si>
  <si>
    <t>2 раза в неделю</t>
  </si>
  <si>
    <t xml:space="preserve">Сдвижка и подметание снега при отсутствии снегопада на придомовой территории с усовершенствованным покрытием </t>
  </si>
  <si>
    <t>Уборка придомовой территории без покрытия в зимний период</t>
  </si>
  <si>
    <t xml:space="preserve">Сдвижка и подметание снега при снегопаде на придомовой территории с усовершенствованным покрытием </t>
  </si>
  <si>
    <t>по мере необходимости</t>
  </si>
  <si>
    <t xml:space="preserve">Очистка крыльца от наледи без обработки противогололедными реагентами </t>
  </si>
  <si>
    <t>Посыпка пескосоляной смесью</t>
  </si>
  <si>
    <t>Прочие работы</t>
  </si>
  <si>
    <t>1 раз в год</t>
  </si>
  <si>
    <t>5.</t>
  </si>
  <si>
    <t>Вывоз КГМ</t>
  </si>
  <si>
    <t>6.</t>
  </si>
  <si>
    <t>Вывоз  и утилизация твердых  бытовых отходов</t>
  </si>
  <si>
    <t>ежедневно</t>
  </si>
  <si>
    <t>7.</t>
  </si>
  <si>
    <t>Дератизация</t>
  </si>
  <si>
    <t>1 раз в квартал</t>
  </si>
  <si>
    <t>8.</t>
  </si>
  <si>
    <t>Дезинсекция</t>
  </si>
  <si>
    <t>9.</t>
  </si>
  <si>
    <t>Обслуживание газопроводов (или обслуживание силовых эл. сетей)</t>
  </si>
  <si>
    <t>10.</t>
  </si>
  <si>
    <t>Аварийно-диспетчерское обслуживание</t>
  </si>
  <si>
    <t>круглосуточно</t>
  </si>
  <si>
    <t>11.</t>
  </si>
  <si>
    <t>Обслуживание вентканалов и дымоходов</t>
  </si>
  <si>
    <t>12.</t>
  </si>
  <si>
    <t>Лифты</t>
  </si>
  <si>
    <t>13.</t>
  </si>
  <si>
    <t>Управление</t>
  </si>
  <si>
    <t>14.</t>
  </si>
  <si>
    <t>Итого</t>
  </si>
  <si>
    <t>РКО, паспортисты</t>
  </si>
  <si>
    <t>Подметание лестничных площадок и маршейпервого этажа с предварительным увлажнением (в доме с лифтами и мусоропроводом)</t>
  </si>
  <si>
    <t>Мытье  лестничных площадок и маршей первых этажей (в доме с лифтами и мусоропроводом)</t>
  </si>
  <si>
    <t>Подметание лестничных площадок и маршей выше первого этажа с предварительным их увлажнением (в доме с лифтами и мусоропроводом)</t>
  </si>
  <si>
    <t>Мытье  лестничных площадок и маршей  выше первого этажа (в доме с лифтами и мусоропроводом)</t>
  </si>
  <si>
    <t>1 раз в 2 недели</t>
  </si>
  <si>
    <t>Дезинфекция и помывка мусороприемных камер и стволов мусоропроводов</t>
  </si>
  <si>
    <t>Уборка в летний период  земельного участка без покрытия 1 класса</t>
  </si>
  <si>
    <t>Уборка придомовой территории без покрытия 1 класса</t>
  </si>
  <si>
    <t>Уборка мусора на  контейнерных  площадках в летний период</t>
  </si>
  <si>
    <t>Уборка в летний период  газонов от случайного мусора</t>
  </si>
  <si>
    <t>Прочие (очистка урн.мехуборка, опиловка)</t>
  </si>
  <si>
    <t>1 раз в неделю (лето)</t>
  </si>
  <si>
    <t>1 раз в месяц</t>
  </si>
  <si>
    <t>2 раза (лето)</t>
  </si>
  <si>
    <t>Покос травы</t>
  </si>
  <si>
    <t xml:space="preserve">     Расчет стоимости и состав работ по  содержанию и ремонту общего   имущества многоквартирного дома  </t>
  </si>
  <si>
    <t>Прочие (система мусороудаления и др.)</t>
  </si>
  <si>
    <t>Прочие (мелкий рем. балконных плит)</t>
  </si>
  <si>
    <t>Прочие (мелк.рем.балконных плит)</t>
  </si>
  <si>
    <t>Тариф  руб./1 м2</t>
  </si>
  <si>
    <t>Обслуживание  силовых эл. сетей</t>
  </si>
  <si>
    <t>Тариф                     руб./1 м2</t>
  </si>
  <si>
    <t>Периодичность            в год</t>
  </si>
  <si>
    <t>Прочие</t>
  </si>
  <si>
    <t>60 лет СССР, дом 41</t>
  </si>
  <si>
    <t>с лифтом и мусоропроводом с 1.02.2016 года</t>
  </si>
  <si>
    <t>с 3 -мя лифтами, без мусоропровода с 01.02.2016г.</t>
  </si>
  <si>
    <t>по следующим адресам: ул. Берзина, дом  2</t>
  </si>
  <si>
    <t>с лифтом, без  мусоропровода с 1.02.2016 года</t>
  </si>
  <si>
    <t>по следующим адресам: ул. Шубина, дом 3</t>
  </si>
  <si>
    <t xml:space="preserve">по следующим адресам:  ул.Катукова, дом 28; ул.Кривенкова,                дом 5;ул. Стаханова,дом 26 (подъезд 1),28, 28 а, 34; ул.Шубина,                           дома 2, 5, 7, 9; ул.Берзина, 6; ул. Вермишева, дом 5 а, 9, 23 а, 23 б </t>
  </si>
  <si>
    <t>6 раз в неделю</t>
  </si>
  <si>
    <t>без  лифта и без мусоропровода (малосемейное общежитие) с 1.02.16</t>
  </si>
  <si>
    <t>по следующим адресам:  ул. Вермишева, дома  17, 17/1</t>
  </si>
  <si>
    <t>с лифтом, без мусоропровода, без уборки л/к с 01.02.16 г.</t>
  </si>
  <si>
    <t>по следующим адресам:  ул. Вермишева, дом 22 а</t>
  </si>
  <si>
    <t>без лифта, без  мусоропровода с 1.02.2016 года</t>
  </si>
  <si>
    <t xml:space="preserve">по следующим адресам:  ул.Катукова, дом 30 б;  ул.Шубина,                           дома 4, 6, 10, 12, 14, 18, 20; ул. Вермишева, дома 3, 4, 4 а, 6, 7, 8, 11,11/2, 13,14, 15, 16а, 16 б, 18/1, 22, 23,24,25,26,27,28,29 </t>
  </si>
  <si>
    <t>60 лет СССР, дом 43</t>
  </si>
  <si>
    <t>1 раз  неделю</t>
  </si>
  <si>
    <t>по следующим адресам: ул. Стаханова, 30 а</t>
  </si>
  <si>
    <t>по следующим адресам:ул. Катукова, дома 26, 30, 32 а, 34,36, 38, 40, 40 а, 42; ул. Кривенкова, дома 3, 7; ул. Стаханова, 26 (подъезды 2,3,4,5),          28 б, 30; ул. Шубина, дом 8</t>
  </si>
  <si>
    <t>60 лет СССР, дом 45,47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</si>
</sst>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.00000000"/>
  </numFmts>
  <fonts count="62">
    <font>
      <sz val="9"/>
      <color indexed="8"/>
      <name val="Arial"/>
      <family val="0"/>
    </font>
    <font>
      <b/>
      <sz val="18"/>
      <color indexed="10"/>
      <name val="Arial"/>
      <family val="0"/>
    </font>
    <font>
      <b/>
      <sz val="10"/>
      <color indexed="9"/>
      <name val="Arial"/>
      <family val="0"/>
    </font>
    <font>
      <b/>
      <sz val="14"/>
      <color indexed="12"/>
      <name val="Arial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16"/>
      <name val="Arial"/>
      <family val="2"/>
    </font>
    <font>
      <b/>
      <sz val="11"/>
      <color indexed="16"/>
      <name val="Arial"/>
      <family val="2"/>
    </font>
    <font>
      <b/>
      <sz val="18"/>
      <color indexed="17"/>
      <name val="Courier"/>
      <family val="1"/>
    </font>
    <font>
      <b/>
      <sz val="10"/>
      <color indexed="9"/>
      <name val="Courier"/>
      <family val="1"/>
    </font>
    <font>
      <b/>
      <sz val="12"/>
      <color indexed="17"/>
      <name val="Courier"/>
      <family val="1"/>
    </font>
    <font>
      <b/>
      <sz val="9"/>
      <color indexed="19"/>
      <name val="Arial"/>
      <family val="2"/>
    </font>
    <font>
      <b/>
      <sz val="9"/>
      <color indexed="17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39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8"/>
      </left>
      <right style="thin">
        <color indexed="9"/>
      </right>
      <top style="thick">
        <color indexed="8"/>
      </top>
      <bottom style="thick">
        <color indexed="8"/>
      </bottom>
    </border>
    <border>
      <left style="thin">
        <color indexed="9"/>
      </left>
      <right style="thin">
        <color indexed="9"/>
      </right>
      <top style="thick">
        <color indexed="8"/>
      </top>
      <bottom style="thick">
        <color indexed="8"/>
      </bottom>
    </border>
    <border>
      <left style="thin">
        <color indexed="9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>
        <color indexed="63"/>
      </right>
      <top style="thin"/>
      <bottom style="thin"/>
    </border>
  </borders>
  <cellStyleXfs count="58"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91">
    <xf numFmtId="0" fontId="0" fillId="0" borderId="0" xfId="0" applyFill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right" vertical="center" wrapText="1"/>
      <protection/>
    </xf>
    <xf numFmtId="4" fontId="0" fillId="0" borderId="13" xfId="0" applyNumberFormat="1" applyFill="1" applyBorder="1" applyAlignment="1" applyProtection="1">
      <alignment horizontal="right" vertical="center" wrapText="1"/>
      <protection/>
    </xf>
    <xf numFmtId="4" fontId="0" fillId="0" borderId="14" xfId="0" applyNumberFormat="1" applyFill="1" applyBorder="1" applyAlignment="1" applyProtection="1">
      <alignment horizontal="right" vertical="center" wrapText="1"/>
      <protection/>
    </xf>
    <xf numFmtId="4" fontId="6" fillId="34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8" xfId="0" applyNumberFormat="1" applyFill="1" applyBorder="1" applyAlignment="1" applyProtection="1">
      <alignment horizontal="right" vertical="center" wrapText="1"/>
      <protection/>
    </xf>
    <xf numFmtId="4" fontId="0" fillId="0" borderId="19" xfId="0" applyNumberFormat="1" applyFill="1" applyBorder="1" applyAlignment="1" applyProtection="1">
      <alignment horizontal="right" vertical="center" wrapText="1"/>
      <protection/>
    </xf>
    <xf numFmtId="4" fontId="6" fillId="34" borderId="20" xfId="0" applyNumberFormat="1" applyFont="1" applyFill="1" applyBorder="1" applyAlignment="1" applyProtection="1">
      <alignment horizontal="right" vertical="center" wrapText="1"/>
      <protection/>
    </xf>
    <xf numFmtId="4" fontId="5" fillId="35" borderId="21" xfId="0" applyNumberFormat="1" applyFont="1" applyFill="1" applyBorder="1" applyAlignment="1" applyProtection="1">
      <alignment horizontal="left" vertical="center" wrapText="1"/>
      <protection/>
    </xf>
    <xf numFmtId="4" fontId="5" fillId="35" borderId="22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 horizontal="right" vertical="center" wrapText="1"/>
      <protection/>
    </xf>
    <xf numFmtId="4" fontId="8" fillId="0" borderId="0" xfId="0" applyNumberFormat="1" applyFont="1" applyFill="1" applyAlignment="1" applyProtection="1">
      <alignment horizontal="left" vertical="center" wrapText="1"/>
      <protection/>
    </xf>
    <xf numFmtId="0" fontId="10" fillId="36" borderId="23" xfId="0" applyFont="1" applyFill="1" applyBorder="1" applyAlignment="1" applyProtection="1">
      <alignment horizontal="center" vertical="center" wrapText="1"/>
      <protection/>
    </xf>
    <xf numFmtId="0" fontId="10" fillId="36" borderId="24" xfId="0" applyFont="1" applyFill="1" applyBorder="1" applyAlignment="1" applyProtection="1">
      <alignment horizontal="center" vertical="center" wrapText="1"/>
      <protection/>
    </xf>
    <xf numFmtId="0" fontId="10" fillId="36" borderId="25" xfId="0" applyFont="1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 horizontal="left" vertical="center" wrapText="1"/>
      <protection/>
    </xf>
    <xf numFmtId="0" fontId="0" fillId="0" borderId="28" xfId="0" applyFill="1" applyBorder="1" applyAlignment="1" applyProtection="1">
      <alignment horizontal="right" vertical="center" wrapText="1"/>
      <protection/>
    </xf>
    <xf numFmtId="4" fontId="0" fillId="0" borderId="28" xfId="0" applyNumberFormat="1" applyFill="1" applyBorder="1" applyAlignment="1" applyProtection="1">
      <alignment horizontal="right" vertical="center" wrapText="1"/>
      <protection/>
    </xf>
    <xf numFmtId="4" fontId="12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29" xfId="0" applyNumberFormat="1" applyFill="1" applyBorder="1" applyAlignment="1" applyProtection="1">
      <alignment horizontal="right" vertical="center" wrapText="1"/>
      <protection/>
    </xf>
    <xf numFmtId="4" fontId="0" fillId="0" borderId="30" xfId="0" applyNumberFormat="1" applyFill="1" applyBorder="1" applyAlignment="1" applyProtection="1">
      <alignment horizontal="right" vertical="center" wrapText="1"/>
      <protection/>
    </xf>
    <xf numFmtId="4" fontId="13" fillId="0" borderId="31" xfId="0" applyNumberFormat="1" applyFont="1" applyFill="1" applyBorder="1" applyAlignment="1" applyProtection="1">
      <alignment horizontal="right" vertical="center" wrapText="1"/>
      <protection/>
    </xf>
    <xf numFmtId="2" fontId="0" fillId="0" borderId="0" xfId="0" applyNumberFormat="1" applyFill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2" fontId="6" fillId="0" borderId="0" xfId="0" applyNumberFormat="1" applyFont="1" applyFill="1" applyAlignment="1" applyProtection="1">
      <alignment horizontal="left" vertical="center" wrapText="1"/>
      <protection/>
    </xf>
    <xf numFmtId="0" fontId="58" fillId="0" borderId="32" xfId="0" applyFont="1" applyBorder="1" applyAlignment="1">
      <alignment wrapText="1"/>
    </xf>
    <xf numFmtId="0" fontId="59" fillId="0" borderId="32" xfId="0" applyFont="1" applyBorder="1" applyAlignment="1">
      <alignment horizontal="center" wrapText="1"/>
    </xf>
    <xf numFmtId="0" fontId="60" fillId="0" borderId="32" xfId="0" applyFont="1" applyBorder="1" applyAlignment="1">
      <alignment wrapText="1"/>
    </xf>
    <xf numFmtId="0" fontId="14" fillId="38" borderId="32" xfId="0" applyNumberFormat="1" applyFont="1" applyFill="1" applyBorder="1" applyAlignment="1">
      <alignment/>
    </xf>
    <xf numFmtId="0" fontId="0" fillId="0" borderId="32" xfId="0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horizontal="right" vertical="center" wrapText="1"/>
      <protection/>
    </xf>
    <xf numFmtId="0" fontId="0" fillId="0" borderId="32" xfId="0" applyFill="1" applyBorder="1" applyAlignment="1" applyProtection="1">
      <alignment vertical="center" wrapText="1"/>
      <protection/>
    </xf>
    <xf numFmtId="0" fontId="16" fillId="0" borderId="32" xfId="0" applyFont="1" applyFill="1" applyBorder="1" applyAlignment="1" applyProtection="1">
      <alignment horizontal="right" vertical="center" wrapText="1"/>
      <protection/>
    </xf>
    <xf numFmtId="0" fontId="0" fillId="0" borderId="14" xfId="0" applyFont="1" applyFill="1" applyBorder="1" applyAlignment="1" applyProtection="1">
      <alignment horizontal="left" vertical="center" wrapText="1"/>
      <protection/>
    </xf>
    <xf numFmtId="0" fontId="0" fillId="0" borderId="32" xfId="0" applyFill="1" applyBorder="1" applyAlignment="1" applyProtection="1">
      <alignment horizontal="right" wrapText="1"/>
      <protection/>
    </xf>
    <xf numFmtId="0" fontId="58" fillId="0" borderId="32" xfId="0" applyFont="1" applyBorder="1" applyAlignment="1">
      <alignment horizontal="right" wrapText="1"/>
    </xf>
    <xf numFmtId="2" fontId="58" fillId="0" borderId="32" xfId="0" applyNumberFormat="1" applyFont="1" applyBorder="1" applyAlignment="1">
      <alignment horizontal="right" wrapText="1"/>
    </xf>
    <xf numFmtId="2" fontId="0" fillId="0" borderId="32" xfId="0" applyNumberFormat="1" applyFill="1" applyBorder="1" applyAlignment="1" applyProtection="1">
      <alignment horizontal="right" wrapText="1"/>
      <protection/>
    </xf>
    <xf numFmtId="0" fontId="16" fillId="0" borderId="32" xfId="0" applyFont="1" applyFill="1" applyBorder="1" applyAlignment="1" applyProtection="1">
      <alignment horizontal="right" wrapText="1"/>
      <protection/>
    </xf>
    <xf numFmtId="0" fontId="5" fillId="0" borderId="32" xfId="0" applyFont="1" applyFill="1" applyBorder="1" applyAlignment="1" applyProtection="1">
      <alignment horizontal="right" wrapText="1"/>
      <protection/>
    </xf>
    <xf numFmtId="2" fontId="5" fillId="0" borderId="32" xfId="0" applyNumberFormat="1" applyFont="1" applyFill="1" applyBorder="1" applyAlignment="1" applyProtection="1">
      <alignment horizontal="right" wrapText="1"/>
      <protection/>
    </xf>
    <xf numFmtId="0" fontId="15" fillId="0" borderId="32" xfId="0" applyFont="1" applyFill="1" applyBorder="1" applyAlignment="1" applyProtection="1">
      <alignment vertical="center" wrapText="1"/>
      <protection/>
    </xf>
    <xf numFmtId="2" fontId="15" fillId="0" borderId="32" xfId="0" applyNumberFormat="1" applyFont="1" applyFill="1" applyBorder="1" applyAlignment="1" applyProtection="1">
      <alignment horizontal="right" vertical="center" wrapText="1"/>
      <protection/>
    </xf>
    <xf numFmtId="2" fontId="15" fillId="0" borderId="32" xfId="0" applyNumberFormat="1" applyFont="1" applyFill="1" applyBorder="1" applyAlignment="1" applyProtection="1">
      <alignment vertical="center" wrapText="1"/>
      <protection/>
    </xf>
    <xf numFmtId="0" fontId="61" fillId="0" borderId="0" xfId="0" applyFont="1" applyAlignment="1">
      <alignment wrapText="1"/>
    </xf>
    <xf numFmtId="0" fontId="61" fillId="0" borderId="33" xfId="0" applyFont="1" applyBorder="1" applyAlignment="1">
      <alignment horizontal="center" vertical="center"/>
    </xf>
    <xf numFmtId="0" fontId="61" fillId="0" borderId="33" xfId="0" applyFont="1" applyBorder="1" applyAlignment="1">
      <alignment horizontal="center" vertical="center"/>
    </xf>
    <xf numFmtId="0" fontId="61" fillId="0" borderId="33" xfId="0" applyFont="1" applyBorder="1" applyAlignment="1">
      <alignment horizontal="center" vertical="center"/>
    </xf>
    <xf numFmtId="0" fontId="61" fillId="0" borderId="33" xfId="0" applyFont="1" applyBorder="1" applyAlignment="1">
      <alignment horizontal="center" vertical="center"/>
    </xf>
    <xf numFmtId="2" fontId="16" fillId="0" borderId="32" xfId="0" applyNumberFormat="1" applyFont="1" applyFill="1" applyBorder="1" applyAlignment="1" applyProtection="1">
      <alignment horizontal="right" vertical="center" wrapText="1"/>
      <protection/>
    </xf>
    <xf numFmtId="0" fontId="61" fillId="0" borderId="33" xfId="0" applyFont="1" applyBorder="1" applyAlignment="1">
      <alignment horizontal="center" vertical="center"/>
    </xf>
    <xf numFmtId="0" fontId="61" fillId="0" borderId="33" xfId="0" applyFont="1" applyBorder="1" applyAlignment="1">
      <alignment horizontal="center" vertical="center"/>
    </xf>
    <xf numFmtId="0" fontId="61" fillId="0" borderId="33" xfId="0" applyFont="1" applyBorder="1" applyAlignment="1">
      <alignment horizontal="center" vertical="center"/>
    </xf>
    <xf numFmtId="0" fontId="61" fillId="0" borderId="33" xfId="0" applyFont="1" applyBorder="1" applyAlignment="1">
      <alignment horizontal="center" vertical="center"/>
    </xf>
    <xf numFmtId="0" fontId="1" fillId="0" borderId="0" xfId="0" applyFont="1" applyFill="1" applyAlignment="1" applyProtection="1">
      <alignment horizontal="left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4" fontId="0" fillId="0" borderId="0" xfId="0" applyNumberFormat="1" applyFill="1" applyAlignment="1" applyProtection="1">
      <alignment horizontal="left" vertical="center" wrapText="1"/>
      <protection/>
    </xf>
    <xf numFmtId="0" fontId="4" fillId="39" borderId="35" xfId="0" applyFont="1" applyFill="1" applyBorder="1" applyAlignment="1" applyProtection="1">
      <alignment horizontal="left" vertical="center" wrapText="1"/>
      <protection/>
    </xf>
    <xf numFmtId="0" fontId="4" fillId="39" borderId="36" xfId="0" applyFont="1" applyFill="1" applyBorder="1" applyAlignment="1" applyProtection="1">
      <alignment horizontal="left" vertical="center" wrapText="1"/>
      <protection/>
    </xf>
    <xf numFmtId="4" fontId="4" fillId="39" borderId="36" xfId="0" applyNumberFormat="1" applyFont="1" applyFill="1" applyBorder="1" applyAlignment="1" applyProtection="1">
      <alignment horizontal="left" vertical="center" wrapText="1"/>
      <protection/>
    </xf>
    <xf numFmtId="4" fontId="4" fillId="39" borderId="37" xfId="0" applyNumberFormat="1" applyFont="1" applyFill="1" applyBorder="1" applyAlignment="1" applyProtection="1">
      <alignment horizontal="left" vertical="center" wrapText="1"/>
      <protection/>
    </xf>
    <xf numFmtId="0" fontId="5" fillId="34" borderId="38" xfId="0" applyFont="1" applyFill="1" applyBorder="1" applyAlignment="1" applyProtection="1">
      <alignment horizontal="left" vertical="center" wrapText="1"/>
      <protection/>
    </xf>
    <xf numFmtId="0" fontId="5" fillId="34" borderId="17" xfId="0" applyFont="1" applyFill="1" applyBorder="1" applyAlignment="1" applyProtection="1">
      <alignment horizontal="left" vertical="center" wrapText="1"/>
      <protection/>
    </xf>
    <xf numFmtId="0" fontId="5" fillId="35" borderId="39" xfId="0" applyFont="1" applyFill="1" applyBorder="1" applyAlignment="1" applyProtection="1">
      <alignment horizontal="left" vertical="center" wrapText="1"/>
      <protection/>
    </xf>
    <xf numFmtId="0" fontId="5" fillId="35" borderId="21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right" vertical="center" wrapText="1"/>
      <protection/>
    </xf>
    <xf numFmtId="4" fontId="8" fillId="0" borderId="0" xfId="0" applyNumberFormat="1" applyFont="1" applyFill="1" applyAlignment="1" applyProtection="1">
      <alignment horizontal="left" vertical="center" wrapText="1"/>
      <protection/>
    </xf>
    <xf numFmtId="0" fontId="13" fillId="0" borderId="40" xfId="0" applyFont="1" applyFill="1" applyBorder="1" applyAlignment="1" applyProtection="1">
      <alignment horizontal="left" vertical="center" wrapText="1"/>
      <protection/>
    </xf>
    <xf numFmtId="0" fontId="13" fillId="0" borderId="41" xfId="0" applyFont="1" applyFill="1" applyBorder="1" applyAlignment="1" applyProtection="1">
      <alignment horizontal="left" vertical="center" wrapText="1"/>
      <protection/>
    </xf>
    <xf numFmtId="4" fontId="13" fillId="0" borderId="41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61" fillId="0" borderId="33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61" fillId="0" borderId="42" xfId="0" applyFont="1" applyBorder="1" applyAlignment="1">
      <alignment horizontal="left" vertical="top" wrapText="1"/>
    </xf>
    <xf numFmtId="0" fontId="61" fillId="0" borderId="42" xfId="0" applyFont="1" applyBorder="1" applyAlignment="1">
      <alignment horizontal="center" vertical="center" wrapText="1"/>
    </xf>
    <xf numFmtId="0" fontId="61" fillId="0" borderId="42" xfId="0" applyFont="1" applyBorder="1" applyAlignment="1">
      <alignment horizontal="center" vertical="center"/>
    </xf>
    <xf numFmtId="0" fontId="61" fillId="0" borderId="0" xfId="0" applyFont="1" applyAlignment="1">
      <alignment horizontal="center" wrapTex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7474F"/>
      <rgbColor rgb="00546E7A"/>
      <rgbColor rgb="00E65100"/>
      <rgbColor rgb="00CFD8DC"/>
      <rgbColor rgb="00ECEFF1"/>
      <rgbColor rgb="00FFE0B2"/>
      <rgbColor rgb="00455A64"/>
      <rgbColor rgb="00600000"/>
      <rgbColor rgb="004682B4"/>
      <rgbColor rgb="000000B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30"/>
  <sheetViews>
    <sheetView zoomScalePageLayoutView="0" workbookViewId="0" topLeftCell="C151">
      <selection activeCell="C166" sqref="C166:K166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50.00390625" style="0" customWidth="1"/>
    <col min="4" max="4" width="18.00390625" style="0" customWidth="1"/>
    <col min="5" max="5" width="15.00390625" style="0" customWidth="1"/>
    <col min="6" max="6" width="12.00390625" style="0" customWidth="1"/>
    <col min="7" max="12" width="13.00390625" style="0" customWidth="1"/>
    <col min="13" max="13" width="15.00390625" style="0" customWidth="1"/>
  </cols>
  <sheetData>
    <row r="1" spans="2:13" ht="23.25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3" spans="2:13" ht="38.25"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3" t="s">
        <v>12</v>
      </c>
    </row>
    <row r="4" spans="2:13" ht="24.75" customHeight="1">
      <c r="B4" s="66" t="s">
        <v>13</v>
      </c>
      <c r="C4" s="67"/>
      <c r="D4" s="67"/>
      <c r="E4" s="67"/>
      <c r="F4" s="67"/>
      <c r="G4" s="68"/>
      <c r="H4" s="68"/>
      <c r="I4" s="68"/>
      <c r="J4" s="68"/>
      <c r="K4" s="68"/>
      <c r="L4" s="68"/>
      <c r="M4" s="68"/>
    </row>
    <row r="5" spans="2:13" ht="21.75" customHeight="1">
      <c r="B5" s="69" t="s">
        <v>14</v>
      </c>
      <c r="C5" s="70"/>
      <c r="D5" s="70"/>
      <c r="E5" s="70"/>
      <c r="F5" s="70"/>
      <c r="G5" s="71"/>
      <c r="H5" s="71"/>
      <c r="I5" s="71"/>
      <c r="J5" s="71"/>
      <c r="K5" s="71"/>
      <c r="L5" s="71"/>
      <c r="M5" s="72"/>
    </row>
    <row r="6" spans="2:13" ht="12">
      <c r="B6" s="6">
        <v>1</v>
      </c>
      <c r="C6" s="4" t="s">
        <v>15</v>
      </c>
      <c r="D6" s="4" t="s">
        <v>16</v>
      </c>
      <c r="E6" s="8">
        <v>1.52</v>
      </c>
      <c r="F6" s="8">
        <v>12</v>
      </c>
      <c r="G6" s="11">
        <f>468.86*E6*F6</f>
        <v>8552.0064</v>
      </c>
      <c r="H6" s="11">
        <f>0*E6*F6</f>
        <v>0</v>
      </c>
      <c r="I6" s="11">
        <f>99.28127*E6*F6</f>
        <v>1810.8903648</v>
      </c>
      <c r="J6" s="11">
        <f>489.9606516*E6*F6</f>
        <v>8936.882285184</v>
      </c>
      <c r="K6" s="11">
        <f>58.195605688*E6*F6</f>
        <v>1061.4878477491202</v>
      </c>
      <c r="L6" s="11">
        <f>102.93291*E6*F6</f>
        <v>1877.4962784000002</v>
      </c>
      <c r="M6" s="14">
        <f aca="true" t="shared" si="0" ref="M6:M37">SUM(G6:L6)</f>
        <v>22238.76317613312</v>
      </c>
    </row>
    <row r="7" spans="2:13" ht="24">
      <c r="B7" s="7">
        <v>2</v>
      </c>
      <c r="C7" s="5" t="s">
        <v>17</v>
      </c>
      <c r="D7" s="5" t="s">
        <v>18</v>
      </c>
      <c r="E7" s="9">
        <v>5</v>
      </c>
      <c r="F7" s="9">
        <v>12</v>
      </c>
      <c r="G7" s="12">
        <f>553.87255*E7*F7</f>
        <v>33232.353</v>
      </c>
      <c r="H7" s="12">
        <f>1803.40943904*E7*F7</f>
        <v>108204.56634240001</v>
      </c>
      <c r="I7" s="12">
        <f aca="true" t="shared" si="1" ref="I7:I14">0*E7*F7</f>
        <v>0</v>
      </c>
      <c r="J7" s="12">
        <f>527.2866676*E7*F7</f>
        <v>31637.200055999998</v>
      </c>
      <c r="K7" s="12">
        <f>158.6512761152*E7*F7</f>
        <v>9519.076566912001</v>
      </c>
      <c r="L7" s="12">
        <f>110.77451*E7*F7</f>
        <v>6646.470600000001</v>
      </c>
      <c r="M7" s="15">
        <f t="shared" si="0"/>
        <v>189239.666565312</v>
      </c>
    </row>
    <row r="8" spans="2:13" ht="36">
      <c r="B8" s="7">
        <v>3</v>
      </c>
      <c r="C8" s="5" t="s">
        <v>19</v>
      </c>
      <c r="D8" s="5" t="s">
        <v>20</v>
      </c>
      <c r="E8" s="9">
        <v>0.76</v>
      </c>
      <c r="F8" s="9">
        <v>12</v>
      </c>
      <c r="G8" s="12">
        <f>1756.48*E8*F8</f>
        <v>16019.097600000001</v>
      </c>
      <c r="H8" s="12">
        <f>3358.50547329*E8*F8</f>
        <v>30629.5699164048</v>
      </c>
      <c r="I8" s="12">
        <f t="shared" si="1"/>
        <v>0</v>
      </c>
      <c r="J8" s="12">
        <f>1672.16896*E8*F8</f>
        <v>15250.180915199999</v>
      </c>
      <c r="K8" s="12">
        <f>373.29349383095*E8*F8</f>
        <v>3404.436663738264</v>
      </c>
      <c r="L8" s="12">
        <f>351.296*E8*F8</f>
        <v>3203.81952</v>
      </c>
      <c r="M8" s="15">
        <f t="shared" si="0"/>
        <v>68507.10461534307</v>
      </c>
    </row>
    <row r="9" spans="2:13" ht="12">
      <c r="B9" s="7">
        <v>4</v>
      </c>
      <c r="C9" s="5" t="s">
        <v>21</v>
      </c>
      <c r="D9" s="5" t="s">
        <v>22</v>
      </c>
      <c r="E9" s="9">
        <v>0.76</v>
      </c>
      <c r="F9" s="9">
        <v>12</v>
      </c>
      <c r="G9" s="12">
        <f>623.5504*E9*F9</f>
        <v>5686.779648</v>
      </c>
      <c r="H9" s="12">
        <f>1448.073*E9*F9</f>
        <v>13206.42576</v>
      </c>
      <c r="I9" s="12">
        <f t="shared" si="1"/>
        <v>0</v>
      </c>
      <c r="J9" s="12">
        <f>593.6199808*E9*F9</f>
        <v>5413.814224896</v>
      </c>
      <c r="K9" s="12">
        <f>146.588385944*E9*F9</f>
        <v>1336.88607980928</v>
      </c>
      <c r="L9" s="12">
        <f>124.71008*E9*F9</f>
        <v>1137.3559296</v>
      </c>
      <c r="M9" s="15">
        <f t="shared" si="0"/>
        <v>26781.26164230528</v>
      </c>
    </row>
    <row r="10" spans="2:13" ht="12">
      <c r="B10" s="7">
        <v>5</v>
      </c>
      <c r="C10" s="5" t="s">
        <v>23</v>
      </c>
      <c r="D10" s="5" t="s">
        <v>22</v>
      </c>
      <c r="E10" s="9">
        <v>0.76</v>
      </c>
      <c r="F10" s="9">
        <v>4</v>
      </c>
      <c r="G10" s="12">
        <f>2250.56645*E10*F10</f>
        <v>6841.722008</v>
      </c>
      <c r="H10" s="12">
        <f>47698.2*E10*F10</f>
        <v>145002.528</v>
      </c>
      <c r="I10" s="12">
        <f t="shared" si="1"/>
        <v>0</v>
      </c>
      <c r="J10" s="12">
        <f>2142.5392604*E10*F10</f>
        <v>6513.319351616</v>
      </c>
      <c r="K10" s="12">
        <f>2865.021814072*E10*F10</f>
        <v>8709.66631477888</v>
      </c>
      <c r="L10" s="12">
        <f>450.11329*E10*F10</f>
        <v>1368.3444016</v>
      </c>
      <c r="M10" s="15">
        <f t="shared" si="0"/>
        <v>168435.5800759949</v>
      </c>
    </row>
    <row r="11" spans="2:13" ht="12">
      <c r="B11" s="7">
        <v>6</v>
      </c>
      <c r="C11" s="5" t="s">
        <v>24</v>
      </c>
      <c r="D11" s="5" t="s">
        <v>22</v>
      </c>
      <c r="E11" s="9">
        <v>0.38</v>
      </c>
      <c r="F11" s="9">
        <v>12</v>
      </c>
      <c r="G11" s="12">
        <f>3180.3156*E11*F11</f>
        <v>14502.239136</v>
      </c>
      <c r="H11" s="12">
        <f>1768.14*E11*F11</f>
        <v>8062.718400000002</v>
      </c>
      <c r="I11" s="12">
        <f t="shared" si="1"/>
        <v>0</v>
      </c>
      <c r="J11" s="12">
        <f>3027.6604512*E11*F11</f>
        <v>13806.131657471999</v>
      </c>
      <c r="K11" s="12">
        <f>438.686382816*E11*F11</f>
        <v>2000.40990564096</v>
      </c>
      <c r="L11" s="12">
        <f>636.06312*E11*F11</f>
        <v>2900.4478272</v>
      </c>
      <c r="M11" s="15">
        <f t="shared" si="0"/>
        <v>41271.94692631296</v>
      </c>
    </row>
    <row r="12" spans="2:13" ht="24">
      <c r="B12" s="7">
        <v>7</v>
      </c>
      <c r="C12" s="5" t="s">
        <v>25</v>
      </c>
      <c r="D12" s="5" t="s">
        <v>26</v>
      </c>
      <c r="E12" s="9">
        <v>3.8</v>
      </c>
      <c r="F12" s="9">
        <v>1</v>
      </c>
      <c r="G12" s="12">
        <f>4056.59056*E12*F12</f>
        <v>15415.044128</v>
      </c>
      <c r="H12" s="12">
        <f>10061.716995*E12*F12</f>
        <v>38234.524581</v>
      </c>
      <c r="I12" s="12">
        <f t="shared" si="1"/>
        <v>0</v>
      </c>
      <c r="J12" s="12">
        <f>3861.87421312*E12*F12</f>
        <v>14675.122009856</v>
      </c>
      <c r="K12" s="12">
        <f>988.9099972466*E12*F12</f>
        <v>3757.85798953708</v>
      </c>
      <c r="L12" s="12">
        <f>811.318112*E12*F12</f>
        <v>3083.0088256</v>
      </c>
      <c r="M12" s="15">
        <f t="shared" si="0"/>
        <v>75165.55753399308</v>
      </c>
    </row>
    <row r="13" spans="2:13" ht="12">
      <c r="B13" s="7">
        <v>8</v>
      </c>
      <c r="C13" s="5" t="s">
        <v>27</v>
      </c>
      <c r="D13" s="5" t="s">
        <v>28</v>
      </c>
      <c r="E13" s="9">
        <v>19</v>
      </c>
      <c r="F13" s="9">
        <v>1</v>
      </c>
      <c r="G13" s="12">
        <f>295.944825*E13*F13</f>
        <v>5622.951674999999</v>
      </c>
      <c r="H13" s="12">
        <f>617.4910368*E13*F13</f>
        <v>11732.3296992</v>
      </c>
      <c r="I13" s="12">
        <f t="shared" si="1"/>
        <v>0</v>
      </c>
      <c r="J13" s="12">
        <f>281.7394734*E13*F13</f>
        <v>5353.0499946</v>
      </c>
      <c r="K13" s="12">
        <f>65.734643436*E13*F13</f>
        <v>1248.958225284</v>
      </c>
      <c r="L13" s="12">
        <f>59.188965*E13*F13</f>
        <v>1124.590335</v>
      </c>
      <c r="M13" s="15">
        <f t="shared" si="0"/>
        <v>25081.879929084</v>
      </c>
    </row>
    <row r="14" spans="2:13" ht="12">
      <c r="B14" s="7">
        <v>9</v>
      </c>
      <c r="C14" s="5" t="s">
        <v>29</v>
      </c>
      <c r="D14" s="5" t="s">
        <v>30</v>
      </c>
      <c r="E14" s="9">
        <v>1.9</v>
      </c>
      <c r="F14" s="9">
        <v>1</v>
      </c>
      <c r="G14" s="12">
        <f>3256.190575*E14*F14</f>
        <v>6186.7620925</v>
      </c>
      <c r="H14" s="12">
        <f>44472.3263325*E14*F14</f>
        <v>84497.42003174999</v>
      </c>
      <c r="I14" s="12">
        <f t="shared" si="1"/>
        <v>0</v>
      </c>
      <c r="J14" s="12">
        <f>3099.8934274*E14*F14</f>
        <v>5889.7975120599995</v>
      </c>
      <c r="K14" s="12">
        <f>2795.5625684195*E14*F14</f>
        <v>5311.56887999705</v>
      </c>
      <c r="L14" s="12">
        <f>651.238115*E14*F14</f>
        <v>1237.3524184999999</v>
      </c>
      <c r="M14" s="15">
        <f t="shared" si="0"/>
        <v>103122.90093480704</v>
      </c>
    </row>
    <row r="15" spans="2:13" ht="24">
      <c r="B15" s="7">
        <v>10</v>
      </c>
      <c r="C15" s="5" t="s">
        <v>31</v>
      </c>
      <c r="D15" s="5" t="s">
        <v>32</v>
      </c>
      <c r="E15" s="9">
        <v>1.9</v>
      </c>
      <c r="F15" s="9">
        <v>1</v>
      </c>
      <c r="G15" s="12">
        <f>742.116265*E15*F15</f>
        <v>1410.0209035</v>
      </c>
      <c r="H15" s="12">
        <f>8100.04536*E15*F15</f>
        <v>15390.086184</v>
      </c>
      <c r="I15" s="12">
        <f>1474.08498*E15*F15</f>
        <v>2800.761462</v>
      </c>
      <c r="J15" s="12">
        <f>1033.86113292*E15*F15</f>
        <v>1964.336152548</v>
      </c>
      <c r="K15" s="12">
        <f>624.2559255856*E15*F15</f>
        <v>1186.08625861264</v>
      </c>
      <c r="L15" s="12">
        <f>217.197717*E15*F15</f>
        <v>412.6756623</v>
      </c>
      <c r="M15" s="15">
        <f t="shared" si="0"/>
        <v>23163.966622960637</v>
      </c>
    </row>
    <row r="16" spans="2:13" ht="24">
      <c r="B16" s="7">
        <v>11</v>
      </c>
      <c r="C16" s="5" t="s">
        <v>33</v>
      </c>
      <c r="D16" s="5" t="s">
        <v>34</v>
      </c>
      <c r="E16" s="9">
        <v>7.2</v>
      </c>
      <c r="F16" s="9">
        <v>1</v>
      </c>
      <c r="G16" s="12">
        <f>1727.587345*E16*F16</f>
        <v>12438.628884</v>
      </c>
      <c r="H16" s="12">
        <f>5062.52835*E16*F16</f>
        <v>36450.204119999995</v>
      </c>
      <c r="I16" s="12">
        <f aca="true" t="shared" si="2" ref="I16:I29">0*E16*F16</f>
        <v>0</v>
      </c>
      <c r="J16" s="12">
        <f>1644.66315244*E16*F16</f>
        <v>11841.574697568</v>
      </c>
      <c r="K16" s="12">
        <f>463.9128366092*E16*F16</f>
        <v>3340.17242358624</v>
      </c>
      <c r="L16" s="12">
        <f>345.517469*E16*F16</f>
        <v>2487.7257768</v>
      </c>
      <c r="M16" s="15">
        <f t="shared" si="0"/>
        <v>66558.30590195424</v>
      </c>
    </row>
    <row r="17" spans="2:13" ht="24">
      <c r="B17" s="7">
        <v>12</v>
      </c>
      <c r="C17" s="5" t="s">
        <v>35</v>
      </c>
      <c r="D17" s="5" t="s">
        <v>36</v>
      </c>
      <c r="E17" s="9">
        <v>131.2</v>
      </c>
      <c r="F17" s="9">
        <v>1</v>
      </c>
      <c r="G17" s="12">
        <f>923.706575*E17*F17</f>
        <v>121190.30264</v>
      </c>
      <c r="H17" s="12">
        <f>2424.9771315*E17*F17</f>
        <v>318156.9996528</v>
      </c>
      <c r="I17" s="12">
        <f t="shared" si="2"/>
        <v>0</v>
      </c>
      <c r="J17" s="12">
        <f>879.3686594*E17*F17</f>
        <v>115373.16811327999</v>
      </c>
      <c r="K17" s="12">
        <f>232.5428801245*E17*F17</f>
        <v>30509.625872334396</v>
      </c>
      <c r="L17" s="12">
        <f>184.741315*E17*F17</f>
        <v>24238.060527999995</v>
      </c>
      <c r="M17" s="15">
        <f t="shared" si="0"/>
        <v>609468.1568064144</v>
      </c>
    </row>
    <row r="18" spans="2:13" ht="24">
      <c r="B18" s="7">
        <v>13</v>
      </c>
      <c r="C18" s="5" t="s">
        <v>37</v>
      </c>
      <c r="D18" s="5" t="s">
        <v>36</v>
      </c>
      <c r="E18" s="9">
        <v>18.8</v>
      </c>
      <c r="F18" s="9">
        <v>1</v>
      </c>
      <c r="G18" s="12">
        <f>448.40125*E18*F18</f>
        <v>8429.943500000001</v>
      </c>
      <c r="H18" s="12">
        <f>2424.9771315*E18*F18</f>
        <v>45589.5700722</v>
      </c>
      <c r="I18" s="12">
        <f t="shared" si="2"/>
        <v>0</v>
      </c>
      <c r="J18" s="12">
        <f>426.87799*E18*F18</f>
        <v>8025.306212</v>
      </c>
      <c r="K18" s="12">
        <f>181.5141004325*E18*F18</f>
        <v>3412.465088131</v>
      </c>
      <c r="L18" s="12">
        <f>89.68025*E18*F18</f>
        <v>1685.9887</v>
      </c>
      <c r="M18" s="15">
        <f t="shared" si="0"/>
        <v>67143.273572331</v>
      </c>
    </row>
    <row r="19" spans="2:13" ht="36">
      <c r="B19" s="7">
        <v>14</v>
      </c>
      <c r="C19" s="5" t="s">
        <v>38</v>
      </c>
      <c r="D19" s="5" t="s">
        <v>39</v>
      </c>
      <c r="E19" s="9">
        <v>6.47</v>
      </c>
      <c r="F19" s="9">
        <v>1</v>
      </c>
      <c r="G19" s="12">
        <f>1381.343865*E19*F19</f>
        <v>8937.29480655</v>
      </c>
      <c r="H19" s="12">
        <f>20.53458*E19*F19</f>
        <v>132.8587326</v>
      </c>
      <c r="I19" s="12">
        <f t="shared" si="2"/>
        <v>0</v>
      </c>
      <c r="J19" s="12">
        <f>1315.03935948*E19*F19</f>
        <v>8508.3046558356</v>
      </c>
      <c r="K19" s="12">
        <f>149.4304792464*E19*F19</f>
        <v>966.815200724208</v>
      </c>
      <c r="L19" s="12">
        <f>276.268773*E19*F19</f>
        <v>1787.45896131</v>
      </c>
      <c r="M19" s="15">
        <f t="shared" si="0"/>
        <v>20332.73235701981</v>
      </c>
    </row>
    <row r="20" spans="2:13" ht="24">
      <c r="B20" s="7">
        <v>15</v>
      </c>
      <c r="C20" s="5" t="s">
        <v>40</v>
      </c>
      <c r="D20" s="5" t="s">
        <v>41</v>
      </c>
      <c r="E20" s="9">
        <v>26.19</v>
      </c>
      <c r="F20" s="9">
        <v>1</v>
      </c>
      <c r="G20" s="12">
        <f>1524.56425*E20*F20</f>
        <v>39928.3377075</v>
      </c>
      <c r="H20" s="12">
        <f>348.286429557*E20*F20</f>
        <v>9121.621590097831</v>
      </c>
      <c r="I20" s="12">
        <f t="shared" si="2"/>
        <v>0</v>
      </c>
      <c r="J20" s="12">
        <f>1451.385166*E20*F20</f>
        <v>38011.77749754</v>
      </c>
      <c r="K20" s="12">
        <f>182.83297150564*E20*F20</f>
        <v>4788.395523732712</v>
      </c>
      <c r="L20" s="12">
        <f>304.91285*E20*F20</f>
        <v>7985.6675415</v>
      </c>
      <c r="M20" s="15">
        <f t="shared" si="0"/>
        <v>99835.79986037056</v>
      </c>
    </row>
    <row r="21" spans="2:13" ht="24">
      <c r="B21" s="7">
        <v>16</v>
      </c>
      <c r="C21" s="5" t="s">
        <v>42</v>
      </c>
      <c r="D21" s="5" t="s">
        <v>41</v>
      </c>
      <c r="E21" s="9">
        <v>26.19</v>
      </c>
      <c r="F21" s="9">
        <v>1</v>
      </c>
      <c r="G21" s="12">
        <f>4663.373*E21*F21</f>
        <v>122133.73887</v>
      </c>
      <c r="H21" s="12">
        <f>2310.533481762*E21*F21</f>
        <v>60512.87188734679</v>
      </c>
      <c r="I21" s="12">
        <f t="shared" si="2"/>
        <v>0</v>
      </c>
      <c r="J21" s="12">
        <f>4439.531096*E21*F21</f>
        <v>116271.31940424</v>
      </c>
      <c r="K21" s="12">
        <f>627.73906677691*E21*F21</f>
        <v>16440.486158887274</v>
      </c>
      <c r="L21" s="12">
        <f>932.6746*E21*F21</f>
        <v>24426.747774000003</v>
      </c>
      <c r="M21" s="15">
        <f t="shared" si="0"/>
        <v>339785.16409447405</v>
      </c>
    </row>
    <row r="22" spans="2:13" ht="24">
      <c r="B22" s="7">
        <v>17</v>
      </c>
      <c r="C22" s="5" t="s">
        <v>43</v>
      </c>
      <c r="D22" s="5" t="s">
        <v>44</v>
      </c>
      <c r="E22" s="9">
        <v>11.6</v>
      </c>
      <c r="F22" s="9">
        <v>1</v>
      </c>
      <c r="G22" s="12">
        <f>17936.05*E22*F22</f>
        <v>208058.18</v>
      </c>
      <c r="H22" s="12">
        <f>11428.020094986*E22*F22</f>
        <v>132565.0331018376</v>
      </c>
      <c r="I22" s="12">
        <f t="shared" si="2"/>
        <v>0</v>
      </c>
      <c r="J22" s="12">
        <f>17075.1196*E22*F22</f>
        <v>198071.38736000002</v>
      </c>
      <c r="K22" s="12">
        <f>2554.1554332242*E22*F22</f>
        <v>29628.20302540072</v>
      </c>
      <c r="L22" s="12">
        <f>3587.21*E22*F22</f>
        <v>41611.636</v>
      </c>
      <c r="M22" s="15">
        <f t="shared" si="0"/>
        <v>609934.4394872384</v>
      </c>
    </row>
    <row r="23" spans="2:13" ht="12">
      <c r="B23" s="7">
        <v>18</v>
      </c>
      <c r="C23" s="5" t="s">
        <v>45</v>
      </c>
      <c r="D23" s="5" t="s">
        <v>44</v>
      </c>
      <c r="E23" s="9">
        <v>204.966</v>
      </c>
      <c r="F23" s="9">
        <v>1</v>
      </c>
      <c r="G23" s="12">
        <f>1972.9655*E23*F23</f>
        <v>404390.846673</v>
      </c>
      <c r="H23" s="12">
        <f>380.528978148*E23*F23</f>
        <v>77995.50253508298</v>
      </c>
      <c r="I23" s="12">
        <f t="shared" si="2"/>
        <v>0</v>
      </c>
      <c r="J23" s="12">
        <f>1878.263156*E23*F23</f>
        <v>384980.086032696</v>
      </c>
      <c r="K23" s="12">
        <f>232.74666987814*E23*F23</f>
        <v>47705.153938242845</v>
      </c>
      <c r="L23" s="12">
        <f>394.5931*E23*F23</f>
        <v>80878.1693346</v>
      </c>
      <c r="M23" s="15">
        <f t="shared" si="0"/>
        <v>995949.7585136219</v>
      </c>
    </row>
    <row r="24" spans="2:13" ht="12">
      <c r="B24" s="7">
        <v>19</v>
      </c>
      <c r="C24" s="5" t="s">
        <v>46</v>
      </c>
      <c r="D24" s="5" t="s">
        <v>47</v>
      </c>
      <c r="E24" s="9">
        <v>9</v>
      </c>
      <c r="F24" s="9">
        <v>1</v>
      </c>
      <c r="G24" s="12">
        <f>3240.7056*E24*F24</f>
        <v>29166.3504</v>
      </c>
      <c r="H24" s="12">
        <f>5850.16329051*E24*F24</f>
        <v>52651.469614589994</v>
      </c>
      <c r="I24" s="12">
        <f t="shared" si="2"/>
        <v>0</v>
      </c>
      <c r="J24" s="12">
        <f>3085.1517312*E24*F24</f>
        <v>27766.3655808</v>
      </c>
      <c r="K24" s="12">
        <f>669.68113419405*E24*F24</f>
        <v>6027.13020774645</v>
      </c>
      <c r="L24" s="12">
        <f>648.14112*E24*F24</f>
        <v>5833.27008</v>
      </c>
      <c r="M24" s="15">
        <f t="shared" si="0"/>
        <v>121444.58588313645</v>
      </c>
    </row>
    <row r="25" spans="2:13" ht="24">
      <c r="B25" s="7">
        <v>20</v>
      </c>
      <c r="C25" s="5" t="s">
        <v>48</v>
      </c>
      <c r="D25" s="5" t="s">
        <v>49</v>
      </c>
      <c r="E25" s="9">
        <v>120</v>
      </c>
      <c r="F25" s="9">
        <v>1</v>
      </c>
      <c r="G25" s="12">
        <f>19.32128*E25*F25</f>
        <v>2318.5536</v>
      </c>
      <c r="H25" s="12">
        <f>15.724112778*E25*F25</f>
        <v>1886.89353336</v>
      </c>
      <c r="I25" s="12">
        <f t="shared" si="2"/>
        <v>0</v>
      </c>
      <c r="J25" s="12">
        <f>18.39385856*E25*F25</f>
        <v>2207.2630272</v>
      </c>
      <c r="K25" s="12">
        <f>2.93915882359*E25*F25</f>
        <v>352.6990588308</v>
      </c>
      <c r="L25" s="12">
        <f>3.864256*E25*F25</f>
        <v>463.71072000000004</v>
      </c>
      <c r="M25" s="15">
        <f t="shared" si="0"/>
        <v>7229.1199393908</v>
      </c>
    </row>
    <row r="26" spans="2:13" ht="12">
      <c r="B26" s="7">
        <v>21</v>
      </c>
      <c r="C26" s="5" t="s">
        <v>50</v>
      </c>
      <c r="D26" s="5" t="s">
        <v>51</v>
      </c>
      <c r="E26" s="9">
        <v>30</v>
      </c>
      <c r="F26" s="9">
        <v>1</v>
      </c>
      <c r="G26" s="12">
        <f>83.4328*E26*F26</f>
        <v>2502.984</v>
      </c>
      <c r="H26" s="12">
        <f>59.87817*E26*F26</f>
        <v>1796.3451</v>
      </c>
      <c r="I26" s="12">
        <f t="shared" si="2"/>
        <v>0</v>
      </c>
      <c r="J26" s="12">
        <f>79.4280256*E26*F26</f>
        <v>2382.840768</v>
      </c>
      <c r="K26" s="12">
        <f>12.250644758*E26*F26</f>
        <v>367.51934274</v>
      </c>
      <c r="L26" s="12">
        <f>16.68656*E26*F26</f>
        <v>500.59680000000003</v>
      </c>
      <c r="M26" s="15">
        <f t="shared" si="0"/>
        <v>7550.28601074</v>
      </c>
    </row>
    <row r="27" spans="2:13" ht="24">
      <c r="B27" s="7">
        <v>22</v>
      </c>
      <c r="C27" s="5" t="s">
        <v>52</v>
      </c>
      <c r="D27" s="5" t="s">
        <v>53</v>
      </c>
      <c r="E27" s="9">
        <v>30</v>
      </c>
      <c r="F27" s="9">
        <v>1</v>
      </c>
      <c r="G27" s="12">
        <f>108.02352*E27*F27</f>
        <v>3240.7056000000002</v>
      </c>
      <c r="H27" s="12">
        <f>241.9851951*E27*F27</f>
        <v>7259.555853</v>
      </c>
      <c r="I27" s="12">
        <f t="shared" si="2"/>
        <v>0</v>
      </c>
      <c r="J27" s="12">
        <f>102.83839104*E27*F27</f>
        <v>3085.1517312</v>
      </c>
      <c r="K27" s="12">
        <f>24.9065908377*E27*F27</f>
        <v>747.1977251310001</v>
      </c>
      <c r="L27" s="12">
        <f>21.604704*E27*F27</f>
        <v>648.14112</v>
      </c>
      <c r="M27" s="15">
        <f t="shared" si="0"/>
        <v>14980.752029330999</v>
      </c>
    </row>
    <row r="28" spans="2:13" ht="12">
      <c r="B28" s="7">
        <v>23</v>
      </c>
      <c r="C28" s="5" t="s">
        <v>54</v>
      </c>
      <c r="D28" s="5" t="s">
        <v>51</v>
      </c>
      <c r="E28" s="9">
        <v>30</v>
      </c>
      <c r="F28" s="9">
        <v>1</v>
      </c>
      <c r="G28" s="12">
        <f>116.584325*E28*F28</f>
        <v>3497.52975</v>
      </c>
      <c r="H28" s="12">
        <f>3.17988*E28*F28</f>
        <v>95.3964</v>
      </c>
      <c r="I28" s="12">
        <f t="shared" si="2"/>
        <v>0</v>
      </c>
      <c r="J28" s="12">
        <f>110.9882774*E28*F28</f>
        <v>3329.648322</v>
      </c>
      <c r="K28" s="12">
        <f>12.691386532*E28*F28</f>
        <v>380.74159596</v>
      </c>
      <c r="L28" s="12">
        <f>23.316865*E28*F28</f>
        <v>699.50595</v>
      </c>
      <c r="M28" s="15">
        <f t="shared" si="0"/>
        <v>8002.82201796</v>
      </c>
    </row>
    <row r="29" spans="2:13" ht="12">
      <c r="B29" s="7">
        <v>24</v>
      </c>
      <c r="C29" s="5" t="s">
        <v>55</v>
      </c>
      <c r="D29" s="5" t="s">
        <v>51</v>
      </c>
      <c r="E29" s="9">
        <v>30</v>
      </c>
      <c r="F29" s="9">
        <v>1</v>
      </c>
      <c r="G29" s="12">
        <f>62.776175*E29*F29</f>
        <v>1883.2852500000001</v>
      </c>
      <c r="H29" s="12">
        <f>36.33102*E29*F29</f>
        <v>1089.9306000000001</v>
      </c>
      <c r="I29" s="12">
        <f t="shared" si="2"/>
        <v>0</v>
      </c>
      <c r="J29" s="12">
        <f>59.7629186*E29*F29</f>
        <v>1792.887558</v>
      </c>
      <c r="K29" s="12">
        <f>8.737856248*E29*F29</f>
        <v>262.13568743999997</v>
      </c>
      <c r="L29" s="12">
        <f>12.555235*E29*F29</f>
        <v>376.65704999999997</v>
      </c>
      <c r="M29" s="15">
        <f t="shared" si="0"/>
        <v>5404.8961454400005</v>
      </c>
    </row>
    <row r="30" spans="2:13" ht="24">
      <c r="B30" s="7">
        <v>25</v>
      </c>
      <c r="C30" s="5" t="s">
        <v>56</v>
      </c>
      <c r="D30" s="5" t="s">
        <v>57</v>
      </c>
      <c r="E30" s="9">
        <v>0.3</v>
      </c>
      <c r="F30" s="9">
        <v>1</v>
      </c>
      <c r="G30" s="12">
        <f>5320.591925*E30*F30</f>
        <v>1596.1775774999999</v>
      </c>
      <c r="H30" s="12">
        <f>20896.92717948*E30*F30</f>
        <v>6269.078153844</v>
      </c>
      <c r="I30" s="12">
        <f>88.444525*E30*F30</f>
        <v>26.533357499999997</v>
      </c>
      <c r="J30" s="12">
        <f>5094.31258336*E30*F30</f>
        <v>1528.2937750079998</v>
      </c>
      <c r="K30" s="12">
        <f>1727.0151917062*E30*F30</f>
        <v>518.10455751186</v>
      </c>
      <c r="L30" s="12">
        <f>1070.233736*E30*F30</f>
        <v>321.0701208</v>
      </c>
      <c r="M30" s="15">
        <f t="shared" si="0"/>
        <v>10259.25754216386</v>
      </c>
    </row>
    <row r="31" spans="2:13" ht="12">
      <c r="B31" s="7">
        <v>26</v>
      </c>
      <c r="C31" s="5" t="s">
        <v>58</v>
      </c>
      <c r="D31" s="5" t="s">
        <v>59</v>
      </c>
      <c r="E31" s="9">
        <v>3</v>
      </c>
      <c r="F31" s="9">
        <v>1</v>
      </c>
      <c r="G31" s="12">
        <f>3278.6325*E31*F31</f>
        <v>9835.897500000001</v>
      </c>
      <c r="H31" s="12">
        <f>8562.7249488*E31*F31</f>
        <v>25688.174846399997</v>
      </c>
      <c r="I31" s="12">
        <f>0*E31*F31</f>
        <v>0</v>
      </c>
      <c r="J31" s="12">
        <f>3121.25814*E31*F31</f>
        <v>9363.77442</v>
      </c>
      <c r="K31" s="12">
        <f>822.943857384*E31*F31</f>
        <v>2468.8315721520003</v>
      </c>
      <c r="L31" s="12">
        <f>655.7265*E31*F31</f>
        <v>1967.1795</v>
      </c>
      <c r="M31" s="15">
        <f t="shared" si="0"/>
        <v>49323.857838551994</v>
      </c>
    </row>
    <row r="32" spans="2:13" ht="24">
      <c r="B32" s="7">
        <v>27</v>
      </c>
      <c r="C32" s="5" t="s">
        <v>60</v>
      </c>
      <c r="D32" s="5" t="s">
        <v>61</v>
      </c>
      <c r="E32" s="9">
        <v>8.64</v>
      </c>
      <c r="F32" s="9">
        <v>1</v>
      </c>
      <c r="G32" s="12">
        <f>3026.43*E32*F32</f>
        <v>26148.3552</v>
      </c>
      <c r="H32" s="12">
        <f>15493.5426888*E32*F32</f>
        <v>133864.208831232</v>
      </c>
      <c r="I32" s="12">
        <f>68.71122*E32*F32</f>
        <v>593.6649408000001</v>
      </c>
      <c r="J32" s="12">
        <f>2911.8602898*E32*F32</f>
        <v>25158.472903872</v>
      </c>
      <c r="K32" s="12">
        <f>1182.529930923*E32*F32</f>
        <v>10217.05860317472</v>
      </c>
      <c r="L32" s="12">
        <f>611.735355*E32*F32</f>
        <v>5285.3934672000005</v>
      </c>
      <c r="M32" s="15">
        <f t="shared" si="0"/>
        <v>201267.1539462787</v>
      </c>
    </row>
    <row r="33" spans="2:13" ht="24">
      <c r="B33" s="7">
        <v>28</v>
      </c>
      <c r="C33" s="5" t="s">
        <v>62</v>
      </c>
      <c r="D33" s="5" t="s">
        <v>41</v>
      </c>
      <c r="E33" s="9">
        <v>0.27</v>
      </c>
      <c r="F33" s="9">
        <v>1</v>
      </c>
      <c r="G33" s="12">
        <f>1500.70459*E33*F33</f>
        <v>405.19023930000003</v>
      </c>
      <c r="H33" s="12">
        <f>1126.01641284*E33*F33</f>
        <v>304.0244314668</v>
      </c>
      <c r="I33" s="12">
        <f>0.5073*E33*F33</f>
        <v>0.136971</v>
      </c>
      <c r="J33" s="12">
        <f>1428.67076968*E33*F33</f>
        <v>385.7411078136</v>
      </c>
      <c r="K33" s="12">
        <f>223.0744489886*E33*F33</f>
        <v>60.23010122692201</v>
      </c>
      <c r="L33" s="12">
        <f>300.140918*E33*F33</f>
        <v>81.03804786</v>
      </c>
      <c r="M33" s="15">
        <f t="shared" si="0"/>
        <v>1236.360898667322</v>
      </c>
    </row>
    <row r="34" spans="2:13" ht="24">
      <c r="B34" s="7">
        <v>29</v>
      </c>
      <c r="C34" s="5" t="s">
        <v>63</v>
      </c>
      <c r="D34" s="5" t="s">
        <v>64</v>
      </c>
      <c r="E34" s="9">
        <v>30</v>
      </c>
      <c r="F34" s="9">
        <v>1</v>
      </c>
      <c r="G34" s="12">
        <f>6893.535*E34*F34</f>
        <v>206806.05</v>
      </c>
      <c r="H34" s="12">
        <f>16005.8383056*E34*F34</f>
        <v>480175.14916800003</v>
      </c>
      <c r="I34" s="12">
        <f aca="true" t="shared" si="3" ref="I34:I43">0*E34*F34</f>
        <v>0</v>
      </c>
      <c r="J34" s="12">
        <f>6562.64532*E34*F34</f>
        <v>196879.3596</v>
      </c>
      <c r="K34" s="12">
        <f>1620.411024408*E34*F34</f>
        <v>48612.33073224</v>
      </c>
      <c r="L34" s="12">
        <f>1378.707*E34*F34</f>
        <v>41361.21000000001</v>
      </c>
      <c r="M34" s="15">
        <f t="shared" si="0"/>
        <v>973834.09950024</v>
      </c>
    </row>
    <row r="35" spans="2:13" ht="12">
      <c r="B35" s="7">
        <v>30</v>
      </c>
      <c r="C35" s="5" t="s">
        <v>65</v>
      </c>
      <c r="D35" s="5" t="s">
        <v>22</v>
      </c>
      <c r="E35" s="9">
        <v>0.3</v>
      </c>
      <c r="F35" s="9">
        <v>1</v>
      </c>
      <c r="G35" s="12">
        <f>5111.77425*E35*F35</f>
        <v>1533.532275</v>
      </c>
      <c r="H35" s="12">
        <f>21963.830455512*E35*F35</f>
        <v>6589.1491366536</v>
      </c>
      <c r="I35" s="12">
        <f t="shared" si="3"/>
        <v>0</v>
      </c>
      <c r="J35" s="12">
        <f>4866.409086*E35*F35</f>
        <v>1459.9227257999999</v>
      </c>
      <c r="K35" s="12">
        <f>1756.8107585332*E35*F35</f>
        <v>527.04322755996</v>
      </c>
      <c r="L35" s="12">
        <f>1022.35485*E35*F35</f>
        <v>306.706455</v>
      </c>
      <c r="M35" s="15">
        <f t="shared" si="0"/>
        <v>10416.353820013559</v>
      </c>
    </row>
    <row r="36" spans="2:13" ht="24">
      <c r="B36" s="7">
        <v>31</v>
      </c>
      <c r="C36" s="5" t="s">
        <v>66</v>
      </c>
      <c r="D36" s="5" t="s">
        <v>64</v>
      </c>
      <c r="E36" s="9">
        <v>0.3</v>
      </c>
      <c r="F36" s="9">
        <v>1</v>
      </c>
      <c r="G36" s="12">
        <f>5548.455*E36*F36</f>
        <v>1664.5365</v>
      </c>
      <c r="H36" s="12">
        <f>14229.3952944*E36*F36</f>
        <v>4268.818588319999</v>
      </c>
      <c r="I36" s="12">
        <f t="shared" si="3"/>
        <v>0</v>
      </c>
      <c r="J36" s="12">
        <f>5282.12916*E36*F36</f>
        <v>1584.638748</v>
      </c>
      <c r="K36" s="12">
        <f>1378.298869992*E36*F36</f>
        <v>413.48966099759997</v>
      </c>
      <c r="L36" s="12">
        <f>1109.691*E36*F36</f>
        <v>332.9073</v>
      </c>
      <c r="M36" s="15">
        <f t="shared" si="0"/>
        <v>8264.390797317601</v>
      </c>
    </row>
    <row r="37" spans="2:13" ht="24">
      <c r="B37" s="7">
        <v>32</v>
      </c>
      <c r="C37" s="5" t="s">
        <v>67</v>
      </c>
      <c r="D37" s="5" t="s">
        <v>68</v>
      </c>
      <c r="E37" s="9">
        <v>0.47</v>
      </c>
      <c r="F37" s="9">
        <v>1</v>
      </c>
      <c r="G37" s="12">
        <f>23002.265385*E37*F37</f>
        <v>10811.064730949998</v>
      </c>
      <c r="H37" s="12">
        <f>1980.32076*E37*F37</f>
        <v>930.7507572</v>
      </c>
      <c r="I37" s="12">
        <f t="shared" si="3"/>
        <v>0</v>
      </c>
      <c r="J37" s="12">
        <f>21898.15664652*E37*F37</f>
        <v>10292.1336238644</v>
      </c>
      <c r="K37" s="12">
        <f>2578.4408535336*E37*F37</f>
        <v>1211.867201160792</v>
      </c>
      <c r="L37" s="12">
        <f>4600.453077*E37*F37</f>
        <v>2162.21294619</v>
      </c>
      <c r="M37" s="15">
        <f t="shared" si="0"/>
        <v>25408.02925936519</v>
      </c>
    </row>
    <row r="38" spans="2:13" ht="24">
      <c r="B38" s="7">
        <v>33</v>
      </c>
      <c r="C38" s="5" t="s">
        <v>69</v>
      </c>
      <c r="D38" s="5" t="s">
        <v>68</v>
      </c>
      <c r="E38" s="9">
        <v>0.5</v>
      </c>
      <c r="F38" s="9">
        <v>1</v>
      </c>
      <c r="G38" s="12">
        <f>30341.833335*E38*F38</f>
        <v>15170.9166675</v>
      </c>
      <c r="H38" s="12">
        <f>2941.35138*E38*F38</f>
        <v>1470.67569</v>
      </c>
      <c r="I38" s="12">
        <f t="shared" si="3"/>
        <v>0</v>
      </c>
      <c r="J38" s="12">
        <f>28885.42533492*E38*F38</f>
        <v>14442.71266746</v>
      </c>
      <c r="K38" s="12">
        <f>3419.2735527456*E38*F38</f>
        <v>1709.6367763728</v>
      </c>
      <c r="L38" s="12">
        <f>6068.366667*E38*F38</f>
        <v>3034.1833335</v>
      </c>
      <c r="M38" s="15">
        <f aca="true" t="shared" si="4" ref="M38:M60">SUM(G38:L38)</f>
        <v>35828.12513483279</v>
      </c>
    </row>
    <row r="39" spans="2:13" ht="12">
      <c r="B39" s="7">
        <v>34</v>
      </c>
      <c r="C39" s="5" t="s">
        <v>70</v>
      </c>
      <c r="D39" s="5" t="s">
        <v>71</v>
      </c>
      <c r="E39" s="9">
        <v>1.5</v>
      </c>
      <c r="F39" s="9">
        <v>1</v>
      </c>
      <c r="G39" s="12">
        <f>16602.67719*E39*F39</f>
        <v>24904.015784999996</v>
      </c>
      <c r="H39" s="12">
        <f>9002.54843235*E39*F39</f>
        <v>13503.822648525002</v>
      </c>
      <c r="I39" s="12">
        <f t="shared" si="3"/>
        <v>0</v>
      </c>
      <c r="J39" s="12">
        <f>15805.74868488*E39*F39</f>
        <v>23708.623027319998</v>
      </c>
      <c r="K39" s="12">
        <f>2277.6035868977*E39*F39</f>
        <v>3416.4053803465504</v>
      </c>
      <c r="L39" s="12">
        <f>3320.535438*E39*F39</f>
        <v>4980.803157</v>
      </c>
      <c r="M39" s="15">
        <f t="shared" si="4"/>
        <v>70513.66999819154</v>
      </c>
    </row>
    <row r="40" spans="2:13" ht="24">
      <c r="B40" s="7">
        <v>35</v>
      </c>
      <c r="C40" s="5" t="s">
        <v>72</v>
      </c>
      <c r="D40" s="5" t="s">
        <v>73</v>
      </c>
      <c r="E40" s="9">
        <v>6</v>
      </c>
      <c r="F40" s="9">
        <v>1</v>
      </c>
      <c r="G40" s="12">
        <f>495.2475*E40*F40</f>
        <v>2971.485</v>
      </c>
      <c r="H40" s="12">
        <f>146.0757276*E40*F40</f>
        <v>876.4543656</v>
      </c>
      <c r="I40" s="12">
        <f t="shared" si="3"/>
        <v>0</v>
      </c>
      <c r="J40" s="12">
        <f>471.47562*E40*F40</f>
        <v>2828.85372</v>
      </c>
      <c r="K40" s="12">
        <f>61.203936618*E40*F40</f>
        <v>367.223619708</v>
      </c>
      <c r="L40" s="12">
        <f>99.0495*E40*F40</f>
        <v>594.297</v>
      </c>
      <c r="M40" s="15">
        <f t="shared" si="4"/>
        <v>7638.313705308001</v>
      </c>
    </row>
    <row r="41" spans="2:13" ht="12">
      <c r="B41" s="7">
        <v>36</v>
      </c>
      <c r="C41" s="5" t="s">
        <v>74</v>
      </c>
      <c r="D41" s="5" t="s">
        <v>75</v>
      </c>
      <c r="E41" s="9">
        <v>194</v>
      </c>
      <c r="F41" s="9">
        <v>1</v>
      </c>
      <c r="G41" s="12">
        <f>5.26944*E41*F41</f>
        <v>1022.2713600000001</v>
      </c>
      <c r="H41" s="12">
        <f>0.666577989*E41*F41</f>
        <v>129.31612986599998</v>
      </c>
      <c r="I41" s="12">
        <f t="shared" si="3"/>
        <v>0</v>
      </c>
      <c r="J41" s="12">
        <f>5.01650688*E41*F41</f>
        <v>973.20233472</v>
      </c>
      <c r="K41" s="12">
        <f>0.602388867795*E41*F41</f>
        <v>116.86344035223</v>
      </c>
      <c r="L41" s="12">
        <f>1.053888*E41*F41</f>
        <v>204.45427199999997</v>
      </c>
      <c r="M41" s="15">
        <f t="shared" si="4"/>
        <v>2446.1075369382297</v>
      </c>
    </row>
    <row r="42" spans="2:13" ht="12">
      <c r="B42" s="7">
        <v>37</v>
      </c>
      <c r="C42" s="5" t="s">
        <v>76</v>
      </c>
      <c r="D42" s="5" t="s">
        <v>77</v>
      </c>
      <c r="E42" s="9">
        <v>97</v>
      </c>
      <c r="F42" s="9">
        <v>1</v>
      </c>
      <c r="G42" s="12">
        <f>46.553265*E42*F42</f>
        <v>4515.666705000001</v>
      </c>
      <c r="H42" s="12">
        <f>50.65975233*E42*F42</f>
        <v>4913.99597601</v>
      </c>
      <c r="I42" s="12">
        <f t="shared" si="3"/>
        <v>0</v>
      </c>
      <c r="J42" s="12">
        <f>44.31870828*E42*F42</f>
        <v>4298.9147031600005</v>
      </c>
      <c r="K42" s="12">
        <f>7.78424490855*E42*F42</f>
        <v>755.07175612935</v>
      </c>
      <c r="L42" s="12">
        <f>9.310653*E42*F42</f>
        <v>903.133341</v>
      </c>
      <c r="M42" s="15">
        <f t="shared" si="4"/>
        <v>15386.782481299351</v>
      </c>
    </row>
    <row r="43" spans="2:13" ht="12">
      <c r="B43" s="7">
        <v>38</v>
      </c>
      <c r="C43" s="5" t="s">
        <v>78</v>
      </c>
      <c r="D43" s="5" t="s">
        <v>79</v>
      </c>
      <c r="E43" s="9">
        <v>30</v>
      </c>
      <c r="F43" s="9">
        <v>1</v>
      </c>
      <c r="G43" s="12">
        <f>13.1736*E43*F43</f>
        <v>395.208</v>
      </c>
      <c r="H43" s="12">
        <f>78.01490466*E43*F43</f>
        <v>2340.4471398</v>
      </c>
      <c r="I43" s="12">
        <f t="shared" si="3"/>
        <v>0</v>
      </c>
      <c r="J43" s="12">
        <f>12.5412672*E43*F43</f>
        <v>376.238016</v>
      </c>
      <c r="K43" s="12">
        <f>5.7051374523*E43*F43</f>
        <v>171.154123569</v>
      </c>
      <c r="L43" s="12">
        <f>2.63472*E43*F43</f>
        <v>79.0416</v>
      </c>
      <c r="M43" s="15">
        <f t="shared" si="4"/>
        <v>3362.0888793690006</v>
      </c>
    </row>
    <row r="44" spans="2:13" ht="12">
      <c r="B44" s="7">
        <v>39</v>
      </c>
      <c r="C44" s="5" t="s">
        <v>80</v>
      </c>
      <c r="D44" s="5" t="s">
        <v>81</v>
      </c>
      <c r="E44" s="9">
        <v>1.5</v>
      </c>
      <c r="F44" s="9">
        <v>1</v>
      </c>
      <c r="G44" s="12">
        <f>25619.616*E44*F44</f>
        <v>38429.424</v>
      </c>
      <c r="H44" s="12">
        <f>76831.6928544*E44*F44</f>
        <v>115247.5392816</v>
      </c>
      <c r="I44" s="12">
        <f>16.63944*E44*F44</f>
        <v>24.95916</v>
      </c>
      <c r="J44" s="12">
        <f>24389.874432*E44*F44</f>
        <v>36584.811648</v>
      </c>
      <c r="K44" s="12">
        <f>6977.180249952*E44*F44</f>
        <v>10465.770374928</v>
      </c>
      <c r="L44" s="12">
        <f>5123.9232*E44*F44</f>
        <v>7685.8848</v>
      </c>
      <c r="M44" s="15">
        <f t="shared" si="4"/>
        <v>208438.38926452797</v>
      </c>
    </row>
    <row r="45" spans="2:13" ht="12">
      <c r="B45" s="7">
        <v>40</v>
      </c>
      <c r="C45" s="5" t="s">
        <v>82</v>
      </c>
      <c r="D45" s="5" t="s">
        <v>81</v>
      </c>
      <c r="E45" s="9">
        <v>31.04</v>
      </c>
      <c r="F45" s="9">
        <v>1</v>
      </c>
      <c r="G45" s="12">
        <f>6277.6175*E45*F45</f>
        <v>194857.2472</v>
      </c>
      <c r="H45" s="12">
        <f>1562.99757372*E45*F45</f>
        <v>48515.4446882688</v>
      </c>
      <c r="I45" s="12">
        <f aca="true" t="shared" si="5" ref="I45:I52">0*E45*F45</f>
        <v>0</v>
      </c>
      <c r="J45" s="12">
        <f>5976.29186*E45*F45</f>
        <v>185504.0993344</v>
      </c>
      <c r="K45" s="12">
        <f>759.9298813546*E45*F45</f>
        <v>23588.22351724678</v>
      </c>
      <c r="L45" s="12">
        <f>1255.5235*E45*F45</f>
        <v>38971.44944</v>
      </c>
      <c r="M45" s="15">
        <f t="shared" si="4"/>
        <v>491436.4641799156</v>
      </c>
    </row>
    <row r="46" spans="2:13" ht="12">
      <c r="B46" s="7">
        <v>41</v>
      </c>
      <c r="C46" s="5" t="s">
        <v>83</v>
      </c>
      <c r="D46" s="5" t="s">
        <v>84</v>
      </c>
      <c r="E46" s="9">
        <v>3</v>
      </c>
      <c r="F46" s="9">
        <v>1</v>
      </c>
      <c r="G46" s="12">
        <f>30.59694*E46*F46</f>
        <v>91.79082</v>
      </c>
      <c r="H46" s="12">
        <f>730.62*E46*F46</f>
        <v>2191.86</v>
      </c>
      <c r="I46" s="12">
        <f t="shared" si="5"/>
        <v>0</v>
      </c>
      <c r="J46" s="12">
        <f>29.12828688*E46*F46</f>
        <v>87.38486064</v>
      </c>
      <c r="K46" s="12">
        <f>43.4689874784*E46*F46</f>
        <v>130.4069624352</v>
      </c>
      <c r="L46" s="12">
        <f>6.119388*E46*F46</f>
        <v>18.358164</v>
      </c>
      <c r="M46" s="15">
        <f t="shared" si="4"/>
        <v>2519.8008070752007</v>
      </c>
    </row>
    <row r="47" spans="2:13" ht="24">
      <c r="B47" s="7">
        <v>42</v>
      </c>
      <c r="C47" s="5" t="s">
        <v>85</v>
      </c>
      <c r="D47" s="5" t="s">
        <v>86</v>
      </c>
      <c r="E47" s="9">
        <v>30</v>
      </c>
      <c r="F47" s="9">
        <v>1</v>
      </c>
      <c r="G47" s="12">
        <f>206.255456*E47*F47</f>
        <v>6187.663680000001</v>
      </c>
      <c r="H47" s="12">
        <f>1788.729250968*E47*F47</f>
        <v>53661.87752904</v>
      </c>
      <c r="I47" s="12">
        <f t="shared" si="5"/>
        <v>0</v>
      </c>
      <c r="J47" s="12">
        <f>196.355194112*E47*F47</f>
        <v>5890.65582336</v>
      </c>
      <c r="K47" s="12">
        <f>120.5236945594*E47*F47</f>
        <v>3615.710836782</v>
      </c>
      <c r="L47" s="12">
        <f>41.2510912*E47*F47</f>
        <v>1237.5327359999999</v>
      </c>
      <c r="M47" s="15">
        <f t="shared" si="4"/>
        <v>70593.440605182</v>
      </c>
    </row>
    <row r="48" spans="2:13" ht="24">
      <c r="B48" s="7">
        <v>43</v>
      </c>
      <c r="C48" s="5" t="s">
        <v>87</v>
      </c>
      <c r="D48" s="5" t="s">
        <v>88</v>
      </c>
      <c r="E48" s="9">
        <v>0.45</v>
      </c>
      <c r="F48" s="9">
        <v>1</v>
      </c>
      <c r="G48" s="12">
        <f>84979.895*E48*F48</f>
        <v>38240.952750000004</v>
      </c>
      <c r="H48" s="12">
        <f>9602.4201174*E48*F48</f>
        <v>4321.089052830001</v>
      </c>
      <c r="I48" s="12">
        <f t="shared" si="5"/>
        <v>0</v>
      </c>
      <c r="J48" s="12">
        <f>80900.86004*E48*F48</f>
        <v>36405.387018</v>
      </c>
      <c r="K48" s="12">
        <f>9651.574633657*E48*F48</f>
        <v>4343.2085851456495</v>
      </c>
      <c r="L48" s="12">
        <f>16995.979*E48*F48</f>
        <v>7648.19055</v>
      </c>
      <c r="M48" s="15">
        <f t="shared" si="4"/>
        <v>90958.82795597566</v>
      </c>
    </row>
    <row r="49" spans="2:13" ht="12">
      <c r="B49" s="7">
        <v>44</v>
      </c>
      <c r="C49" s="5" t="s">
        <v>89</v>
      </c>
      <c r="D49" s="5" t="s">
        <v>90</v>
      </c>
      <c r="E49" s="9">
        <v>4.5</v>
      </c>
      <c r="F49" s="9">
        <v>1</v>
      </c>
      <c r="G49" s="12">
        <f>878.24*E49*F49</f>
        <v>3952.08</v>
      </c>
      <c r="H49" s="12">
        <f>135.432*E49*F49</f>
        <v>609.444</v>
      </c>
      <c r="I49" s="12">
        <f t="shared" si="5"/>
        <v>0</v>
      </c>
      <c r="J49" s="12">
        <f>836.08448*E49*F49</f>
        <v>3762.3801599999997</v>
      </c>
      <c r="K49" s="12">
        <f>101.7366064*E49*F49</f>
        <v>457.8147288</v>
      </c>
      <c r="L49" s="12">
        <f>175.648*E49*F49</f>
        <v>790.4159999999999</v>
      </c>
      <c r="M49" s="15">
        <f t="shared" si="4"/>
        <v>9572.134888799997</v>
      </c>
    </row>
    <row r="50" spans="2:13" ht="12">
      <c r="B50" s="7">
        <v>45</v>
      </c>
      <c r="C50" s="5" t="s">
        <v>91</v>
      </c>
      <c r="D50" s="5" t="s">
        <v>92</v>
      </c>
      <c r="E50" s="9">
        <v>9</v>
      </c>
      <c r="F50" s="9">
        <v>1</v>
      </c>
      <c r="G50" s="12">
        <f>289.1196*E50*F50</f>
        <v>2602.0764</v>
      </c>
      <c r="H50" s="12">
        <f>1061.998831674*E50*F50</f>
        <v>9557.989485066</v>
      </c>
      <c r="I50" s="12">
        <f t="shared" si="5"/>
        <v>0</v>
      </c>
      <c r="J50" s="12">
        <f>275.2418592*E50*F50</f>
        <v>2477.1767328</v>
      </c>
      <c r="K50" s="12">
        <f>89.44981599807*E50*F50</f>
        <v>805.04834398263</v>
      </c>
      <c r="L50" s="12">
        <f>57.82392*E50*F50</f>
        <v>520.41528</v>
      </c>
      <c r="M50" s="15">
        <f t="shared" si="4"/>
        <v>15962.70624184863</v>
      </c>
    </row>
    <row r="51" spans="2:13" ht="12">
      <c r="B51" s="7">
        <v>46</v>
      </c>
      <c r="C51" s="5" t="s">
        <v>93</v>
      </c>
      <c r="D51" s="5" t="s">
        <v>94</v>
      </c>
      <c r="E51" s="9">
        <v>1.94</v>
      </c>
      <c r="F51" s="9">
        <v>1</v>
      </c>
      <c r="G51" s="12">
        <f>3404.05824*E51*F51</f>
        <v>6603.872985599999</v>
      </c>
      <c r="H51" s="12">
        <f>3584.814552*E51*F51</f>
        <v>6954.540230879999</v>
      </c>
      <c r="I51" s="12">
        <f t="shared" si="5"/>
        <v>0</v>
      </c>
      <c r="J51" s="12">
        <f>3240.66344448*E51*F51</f>
        <v>6286.8870822912</v>
      </c>
      <c r="K51" s="12">
        <f>562.6244930064*E51*F51</f>
        <v>1091.4915164324161</v>
      </c>
      <c r="L51" s="12">
        <f>680.811648*E51*F51</f>
        <v>1320.77459712</v>
      </c>
      <c r="M51" s="15">
        <f t="shared" si="4"/>
        <v>22257.566412323613</v>
      </c>
    </row>
    <row r="52" spans="2:13" ht="12">
      <c r="B52" s="7">
        <v>47</v>
      </c>
      <c r="C52" s="5" t="s">
        <v>95</v>
      </c>
      <c r="D52" s="5" t="s">
        <v>81</v>
      </c>
      <c r="E52" s="9">
        <v>1.57</v>
      </c>
      <c r="F52" s="9">
        <v>1</v>
      </c>
      <c r="G52" s="12">
        <f>8878.34475*E52*F52</f>
        <v>13939.0012575</v>
      </c>
      <c r="H52" s="12">
        <f>2478.9544659*E52*F52</f>
        <v>3891.958511463</v>
      </c>
      <c r="I52" s="12">
        <f t="shared" si="5"/>
        <v>0</v>
      </c>
      <c r="J52" s="12">
        <f>8452.184202*E52*F52</f>
        <v>13269.929197140002</v>
      </c>
      <c r="K52" s="12">
        <f>1089.5215879845*E52*F52</f>
        <v>1710.5488931356651</v>
      </c>
      <c r="L52" s="12">
        <f>1775.66895*E52*F52</f>
        <v>2787.8002515000003</v>
      </c>
      <c r="M52" s="15">
        <f t="shared" si="4"/>
        <v>35599.23811073866</v>
      </c>
    </row>
    <row r="53" spans="2:13" ht="24">
      <c r="B53" s="7">
        <v>48</v>
      </c>
      <c r="C53" s="5" t="s">
        <v>96</v>
      </c>
      <c r="D53" s="5" t="s">
        <v>97</v>
      </c>
      <c r="E53" s="9">
        <v>0.45</v>
      </c>
      <c r="F53" s="9">
        <v>1</v>
      </c>
      <c r="G53" s="12">
        <f>35377.88936*E53*F53</f>
        <v>15920.050212</v>
      </c>
      <c r="H53" s="12">
        <f>7263.93492*E53*F53</f>
        <v>3268.7707139999998</v>
      </c>
      <c r="I53" s="12">
        <f>295.20376*E53*F53</f>
        <v>132.841692</v>
      </c>
      <c r="J53" s="12">
        <f>33811.64236912*E53*F53</f>
        <v>15215.239066104003</v>
      </c>
      <c r="K53" s="12">
        <f>4221.1768725016*E53*F53</f>
        <v>1899.52959262572</v>
      </c>
      <c r="L53" s="12">
        <f>7103.286212*E53*F53</f>
        <v>3196.4787954</v>
      </c>
      <c r="M53" s="15">
        <f t="shared" si="4"/>
        <v>39632.91007212972</v>
      </c>
    </row>
    <row r="54" spans="2:13" ht="12">
      <c r="B54" s="7">
        <v>49</v>
      </c>
      <c r="C54" s="5" t="s">
        <v>98</v>
      </c>
      <c r="D54" s="5" t="s">
        <v>99</v>
      </c>
      <c r="E54" s="9">
        <v>0.97</v>
      </c>
      <c r="F54" s="9">
        <v>1</v>
      </c>
      <c r="G54" s="12">
        <f>5269.44*E54*F54</f>
        <v>5111.3568</v>
      </c>
      <c r="H54" s="12">
        <f>6111.4449132*E54*F54</f>
        <v>5928.101565804</v>
      </c>
      <c r="I54" s="12">
        <f aca="true" t="shared" si="6" ref="I54:I60">0*E54*F54</f>
        <v>0</v>
      </c>
      <c r="J54" s="12">
        <f>5016.50688*E54*F54</f>
        <v>4866.0116736</v>
      </c>
      <c r="K54" s="12">
        <f>901.856548626*E54*F54</f>
        <v>874.8008521672199</v>
      </c>
      <c r="L54" s="12">
        <f>1053.888*E54*F54</f>
        <v>1022.2713599999998</v>
      </c>
      <c r="M54" s="15">
        <f t="shared" si="4"/>
        <v>17802.542251571216</v>
      </c>
    </row>
    <row r="55" spans="2:13" ht="24">
      <c r="B55" s="7">
        <v>50</v>
      </c>
      <c r="C55" s="5" t="s">
        <v>100</v>
      </c>
      <c r="D55" s="5" t="s">
        <v>101</v>
      </c>
      <c r="E55" s="9">
        <v>0.97</v>
      </c>
      <c r="F55" s="9">
        <v>1</v>
      </c>
      <c r="G55" s="12">
        <f>1932.128*E55*F55</f>
        <v>1874.1641599999998</v>
      </c>
      <c r="H55" s="12">
        <f>1572.4112778*E55*F55</f>
        <v>1525.2389394660001</v>
      </c>
      <c r="I55" s="12">
        <f t="shared" si="6"/>
        <v>0</v>
      </c>
      <c r="J55" s="12">
        <f>1839.385856*E55*F55</f>
        <v>1784.20428032</v>
      </c>
      <c r="K55" s="12">
        <f>293.915882359*E55*F55</f>
        <v>285.09840588823</v>
      </c>
      <c r="L55" s="12">
        <f>386.4256*E55*F55</f>
        <v>374.83283199999994</v>
      </c>
      <c r="M55" s="15">
        <f t="shared" si="4"/>
        <v>5843.53861767423</v>
      </c>
    </row>
    <row r="56" spans="2:13" ht="12">
      <c r="B56" s="7">
        <v>51</v>
      </c>
      <c r="C56" s="5" t="s">
        <v>102</v>
      </c>
      <c r="D56" s="5" t="s">
        <v>64</v>
      </c>
      <c r="E56" s="9">
        <v>0.97</v>
      </c>
      <c r="F56" s="9">
        <v>1</v>
      </c>
      <c r="G56" s="12">
        <f>4566.848*E56*F56</f>
        <v>4429.84256</v>
      </c>
      <c r="H56" s="12">
        <f>5878.2384891252*E56*F56</f>
        <v>5701.891334451444</v>
      </c>
      <c r="I56" s="12">
        <f t="shared" si="6"/>
        <v>0</v>
      </c>
      <c r="J56" s="12">
        <f>4347.639296*E56*F56</f>
        <v>4217.21011712</v>
      </c>
      <c r="K56" s="12">
        <f>813.59991818189*E56*F56</f>
        <v>789.1919206364332</v>
      </c>
      <c r="L56" s="12">
        <f>913.3696*E56*F56</f>
        <v>885.9685119999999</v>
      </c>
      <c r="M56" s="15">
        <f t="shared" si="4"/>
        <v>16024.104444207878</v>
      </c>
    </row>
    <row r="57" spans="2:13" ht="36">
      <c r="B57" s="7">
        <v>52</v>
      </c>
      <c r="C57" s="5" t="s">
        <v>103</v>
      </c>
      <c r="D57" s="5" t="s">
        <v>104</v>
      </c>
      <c r="E57" s="9">
        <v>5.238</v>
      </c>
      <c r="F57" s="9">
        <v>1</v>
      </c>
      <c r="G57" s="12">
        <f>7315.49643*E57*F57</f>
        <v>38318.570300340005</v>
      </c>
      <c r="H57" s="12">
        <f>1148.31083664*E57*F57</f>
        <v>6014.8521623203205</v>
      </c>
      <c r="I57" s="12">
        <f t="shared" si="6"/>
        <v>0</v>
      </c>
      <c r="J57" s="12">
        <f>6964.35260136*E57*F57</f>
        <v>36479.27892592368</v>
      </c>
      <c r="K57" s="12">
        <f>848.54879274*E57*F57</f>
        <v>4444.69857637212</v>
      </c>
      <c r="L57" s="12">
        <f>1463.099286*E57*F57</f>
        <v>7663.714060068</v>
      </c>
      <c r="M57" s="15">
        <f t="shared" si="4"/>
        <v>92921.11402502413</v>
      </c>
    </row>
    <row r="58" spans="2:13" ht="24">
      <c r="B58" s="7">
        <v>53</v>
      </c>
      <c r="C58" s="5" t="s">
        <v>105</v>
      </c>
      <c r="D58" s="5" t="s">
        <v>41</v>
      </c>
      <c r="E58" s="9">
        <v>52.38</v>
      </c>
      <c r="F58" s="9">
        <v>1</v>
      </c>
      <c r="G58" s="12">
        <f>3407.8495*E58*F58</f>
        <v>178503.15681</v>
      </c>
      <c r="H58" s="12">
        <f>940.5104742*E58*F58</f>
        <v>49263.938638596</v>
      </c>
      <c r="I58" s="12">
        <f t="shared" si="6"/>
        <v>0</v>
      </c>
      <c r="J58" s="12">
        <f>3244.272724*E58*F58</f>
        <v>169935.00528312</v>
      </c>
      <c r="K58" s="12">
        <f>417.594798401*E58*F58</f>
        <v>21873.61554024438</v>
      </c>
      <c r="L58" s="12">
        <f>681.5699*E58*F58</f>
        <v>35700.631362</v>
      </c>
      <c r="M58" s="15">
        <f t="shared" si="4"/>
        <v>455276.3476339604</v>
      </c>
    </row>
    <row r="59" spans="2:13" ht="24">
      <c r="B59" s="7">
        <v>54</v>
      </c>
      <c r="C59" s="5" t="s">
        <v>106</v>
      </c>
      <c r="D59" s="5" t="s">
        <v>107</v>
      </c>
      <c r="E59" s="9">
        <v>0.733</v>
      </c>
      <c r="F59" s="9">
        <v>1</v>
      </c>
      <c r="G59" s="12">
        <f>1112.0351*E59*F59</f>
        <v>815.1217283</v>
      </c>
      <c r="H59" s="12">
        <f>207.179775792*E59*F59</f>
        <v>151.86277565553598</v>
      </c>
      <c r="I59" s="12">
        <f t="shared" si="6"/>
        <v>0</v>
      </c>
      <c r="J59" s="12">
        <f>1058.6574152*E59*F59</f>
        <v>775.9958853416</v>
      </c>
      <c r="K59" s="12">
        <f>130.78297600456*E59*F59</f>
        <v>95.86392141134247</v>
      </c>
      <c r="L59" s="12">
        <f>222.40702*E59*F59</f>
        <v>163.02434566</v>
      </c>
      <c r="M59" s="15">
        <f t="shared" si="4"/>
        <v>2001.8686563684782</v>
      </c>
    </row>
    <row r="60" spans="2:13" ht="24">
      <c r="B60" s="7">
        <v>55</v>
      </c>
      <c r="C60" s="5" t="s">
        <v>108</v>
      </c>
      <c r="D60" s="5" t="s">
        <v>109</v>
      </c>
      <c r="E60" s="9">
        <v>0.1</v>
      </c>
      <c r="F60" s="9">
        <v>1</v>
      </c>
      <c r="G60" s="12">
        <f>12876.435*E60*F60</f>
        <v>1287.6435000000001</v>
      </c>
      <c r="H60" s="12">
        <f>200808.7011315*E60*F60</f>
        <v>20080.870113150002</v>
      </c>
      <c r="I60" s="12">
        <f t="shared" si="6"/>
        <v>0</v>
      </c>
      <c r="J60" s="12">
        <f>12258.36612*E60*F60</f>
        <v>1225.836612</v>
      </c>
      <c r="K60" s="12">
        <f>12426.892623833*E60*F60</f>
        <v>1242.6892623833</v>
      </c>
      <c r="L60" s="12">
        <f>2575.287*E60*F60</f>
        <v>257.5287</v>
      </c>
      <c r="M60" s="15">
        <f t="shared" si="4"/>
        <v>24094.568187533303</v>
      </c>
    </row>
    <row r="61" spans="2:13" ht="19.5" customHeight="1">
      <c r="B61" s="73" t="s">
        <v>110</v>
      </c>
      <c r="C61" s="74"/>
      <c r="D61" s="74"/>
      <c r="E61" s="74"/>
      <c r="F61" s="74"/>
      <c r="G61" s="13">
        <f aca="true" t="shared" si="7" ref="G61:M61">SUM(G6:G60)</f>
        <v>1940530.0409760398</v>
      </c>
      <c r="H61" s="13">
        <f t="shared" si="7"/>
        <v>2218475.756593178</v>
      </c>
      <c r="I61" s="13">
        <f t="shared" si="7"/>
        <v>5389.787948100001</v>
      </c>
      <c r="J61" s="13">
        <f t="shared" si="7"/>
        <v>1849135.2901929703</v>
      </c>
      <c r="K61" s="13">
        <f t="shared" si="7"/>
        <v>330744.1981640659</v>
      </c>
      <c r="L61" s="13">
        <f t="shared" si="7"/>
        <v>388473.80046070804</v>
      </c>
      <c r="M61" s="16">
        <f t="shared" si="7"/>
        <v>6732748.874335063</v>
      </c>
    </row>
    <row r="62" spans="2:13" ht="21.75" customHeight="1">
      <c r="B62" s="69" t="s">
        <v>111</v>
      </c>
      <c r="C62" s="70"/>
      <c r="D62" s="70"/>
      <c r="E62" s="70"/>
      <c r="F62" s="70"/>
      <c r="G62" s="71"/>
      <c r="H62" s="71"/>
      <c r="I62" s="71"/>
      <c r="J62" s="71"/>
      <c r="K62" s="71"/>
      <c r="L62" s="71"/>
      <c r="M62" s="72"/>
    </row>
    <row r="63" spans="2:13" ht="24">
      <c r="B63" s="6">
        <v>56</v>
      </c>
      <c r="C63" s="4" t="s">
        <v>112</v>
      </c>
      <c r="D63" s="4" t="s">
        <v>113</v>
      </c>
      <c r="E63" s="8">
        <v>6.6</v>
      </c>
      <c r="F63" s="8">
        <v>1</v>
      </c>
      <c r="G63" s="11">
        <f>6277.6175*E63*F63</f>
        <v>41432.275499999996</v>
      </c>
      <c r="H63" s="11">
        <f>19129.22955702*E63*F63</f>
        <v>126252.91507633199</v>
      </c>
      <c r="I63" s="11">
        <f aca="true" t="shared" si="8" ref="I63:I94">0*E63*F63</f>
        <v>0</v>
      </c>
      <c r="J63" s="11">
        <f>5976.29186*E63*F63</f>
        <v>39443.526276</v>
      </c>
      <c r="K63" s="11">
        <f>1726.0726404361*E63*F63</f>
        <v>11392.07942687826</v>
      </c>
      <c r="L63" s="11">
        <f>1255.5235*E63*F63</f>
        <v>8286.4551</v>
      </c>
      <c r="M63" s="14">
        <f aca="true" t="shared" si="9" ref="M63:M94">SUM(G63:L63)</f>
        <v>226807.2513792102</v>
      </c>
    </row>
    <row r="64" spans="2:13" ht="24">
      <c r="B64" s="7">
        <v>57</v>
      </c>
      <c r="C64" s="5" t="s">
        <v>114</v>
      </c>
      <c r="D64" s="5" t="s">
        <v>113</v>
      </c>
      <c r="E64" s="9">
        <v>0.18</v>
      </c>
      <c r="F64" s="9">
        <v>1</v>
      </c>
      <c r="G64" s="12">
        <f>10637.358796941*E64*F64</f>
        <v>1914.72458344938</v>
      </c>
      <c r="H64" s="12">
        <f>27227.03146812*E64*F64</f>
        <v>4900.8656642616</v>
      </c>
      <c r="I64" s="12">
        <f t="shared" si="8"/>
        <v>0</v>
      </c>
      <c r="J64" s="12">
        <f>10126.765574688*E64*F64</f>
        <v>1822.8178034438397</v>
      </c>
      <c r="K64" s="12">
        <f>2639.5135711862*E64*F64</f>
        <v>475.11244281351594</v>
      </c>
      <c r="L64" s="12">
        <f>2127.4717593882*E64*F64</f>
        <v>382.944916689876</v>
      </c>
      <c r="M64" s="15">
        <f t="shared" si="9"/>
        <v>9496.465410658211</v>
      </c>
    </row>
    <row r="65" spans="2:13" ht="24">
      <c r="B65" s="7">
        <v>58</v>
      </c>
      <c r="C65" s="5" t="s">
        <v>115</v>
      </c>
      <c r="D65" s="5" t="s">
        <v>113</v>
      </c>
      <c r="E65" s="9">
        <v>0.15</v>
      </c>
      <c r="F65" s="9">
        <v>1</v>
      </c>
      <c r="G65" s="12">
        <f>13835.86897*E65*F65</f>
        <v>2075.3803454999997</v>
      </c>
      <c r="H65" s="12">
        <f>34653.05708238*E65*F65</f>
        <v>5197.958562357</v>
      </c>
      <c r="I65" s="12">
        <f t="shared" si="8"/>
        <v>0</v>
      </c>
      <c r="J65" s="12">
        <f>13171.74725944*E65*F65</f>
        <v>1975.762088916</v>
      </c>
      <c r="K65" s="12">
        <f>3391.3370321501*E65*F65</f>
        <v>508.700554822515</v>
      </c>
      <c r="L65" s="12">
        <f>2767.173794*E65*F65</f>
        <v>415.0760691</v>
      </c>
      <c r="M65" s="15">
        <f t="shared" si="9"/>
        <v>10172.877620695515</v>
      </c>
    </row>
    <row r="66" spans="2:13" ht="12">
      <c r="B66" s="7">
        <v>59</v>
      </c>
      <c r="C66" s="5" t="s">
        <v>116</v>
      </c>
      <c r="D66" s="5" t="s">
        <v>117</v>
      </c>
      <c r="E66" s="9">
        <v>3</v>
      </c>
      <c r="F66" s="9">
        <v>1</v>
      </c>
      <c r="G66" s="12">
        <f>1213.356375*E66*F66</f>
        <v>3640.069125</v>
      </c>
      <c r="H66" s="12">
        <f>701.36443377*E66*F66</f>
        <v>2104.0933013100002</v>
      </c>
      <c r="I66" s="12">
        <f t="shared" si="8"/>
        <v>0</v>
      </c>
      <c r="J66" s="12">
        <f>1155.115269*E66*F66</f>
        <v>3465.3458069999997</v>
      </c>
      <c r="K66" s="12">
        <f>168.84098427735*E66*F66</f>
        <v>506.52295283205</v>
      </c>
      <c r="L66" s="12">
        <f>242.671275*E66*F66</f>
        <v>728.013825</v>
      </c>
      <c r="M66" s="15">
        <f t="shared" si="9"/>
        <v>10444.04501114205</v>
      </c>
    </row>
    <row r="67" spans="2:13" ht="24">
      <c r="B67" s="7">
        <v>60</v>
      </c>
      <c r="C67" s="5" t="s">
        <v>118</v>
      </c>
      <c r="D67" s="5" t="s">
        <v>119</v>
      </c>
      <c r="E67" s="9">
        <v>0.396</v>
      </c>
      <c r="F67" s="9">
        <v>1</v>
      </c>
      <c r="G67" s="12">
        <f>8322.6825*E67*F67</f>
        <v>3295.7822700000006</v>
      </c>
      <c r="H67" s="12">
        <f>377010.04880478*E67*F67</f>
        <v>149295.97932669288</v>
      </c>
      <c r="I67" s="12">
        <f t="shared" si="8"/>
        <v>0</v>
      </c>
      <c r="J67" s="12">
        <f>7923.19374*E67*F67</f>
        <v>3137.58472104</v>
      </c>
      <c r="K67" s="12">
        <f>21629.075877463*E67*F67</f>
        <v>8565.114047475348</v>
      </c>
      <c r="L67" s="12">
        <f>1664.5365*E67*F67</f>
        <v>659.156454</v>
      </c>
      <c r="M67" s="15">
        <f t="shared" si="9"/>
        <v>164953.61681920823</v>
      </c>
    </row>
    <row r="68" spans="2:13" ht="12">
      <c r="B68" s="7">
        <v>61</v>
      </c>
      <c r="C68" s="5" t="s">
        <v>120</v>
      </c>
      <c r="D68" s="5" t="s">
        <v>121</v>
      </c>
      <c r="E68" s="9">
        <v>30</v>
      </c>
      <c r="F68" s="9">
        <v>1</v>
      </c>
      <c r="G68" s="12">
        <f>253.76*E68*F68</f>
        <v>7612.799999999999</v>
      </c>
      <c r="H68" s="12">
        <f>18114.67627695*E68*F68</f>
        <v>543440.2883085</v>
      </c>
      <c r="I68" s="12">
        <f t="shared" si="8"/>
        <v>0</v>
      </c>
      <c r="J68" s="12">
        <f>241.57952*E68*F68</f>
        <v>7247.3856</v>
      </c>
      <c r="K68" s="12">
        <f>1023.5508688322*E68*F68</f>
        <v>30706.526064965998</v>
      </c>
      <c r="L68" s="12">
        <f>50.752*E68*F68</f>
        <v>1522.5600000000002</v>
      </c>
      <c r="M68" s="15">
        <f t="shared" si="9"/>
        <v>590529.5599734661</v>
      </c>
    </row>
    <row r="69" spans="2:13" ht="12">
      <c r="B69" s="7">
        <v>62</v>
      </c>
      <c r="C69" s="5" t="s">
        <v>122</v>
      </c>
      <c r="D69" s="5" t="s">
        <v>121</v>
      </c>
      <c r="E69" s="9">
        <v>30</v>
      </c>
      <c r="F69" s="9">
        <v>0.1</v>
      </c>
      <c r="G69" s="12">
        <f>308.66*E69*F69</f>
        <v>925.9800000000001</v>
      </c>
      <c r="H69" s="12">
        <f>57202.2*E69*F69</f>
        <v>171606.6</v>
      </c>
      <c r="I69" s="12">
        <f t="shared" si="8"/>
        <v>0</v>
      </c>
      <c r="J69" s="12">
        <f>293.84432*E69*F69</f>
        <v>881.53296</v>
      </c>
      <c r="K69" s="12">
        <f>3179.2587376*E69*F69</f>
        <v>9537.776212800001</v>
      </c>
      <c r="L69" s="12">
        <f>61.732*E69*F69</f>
        <v>185.19600000000003</v>
      </c>
      <c r="M69" s="15">
        <f t="shared" si="9"/>
        <v>183137.08517280003</v>
      </c>
    </row>
    <row r="70" spans="2:13" ht="12">
      <c r="B70" s="7">
        <v>63</v>
      </c>
      <c r="C70" s="5" t="s">
        <v>123</v>
      </c>
      <c r="D70" s="5" t="s">
        <v>124</v>
      </c>
      <c r="E70" s="9">
        <v>30</v>
      </c>
      <c r="F70" s="9">
        <v>1</v>
      </c>
      <c r="G70" s="12">
        <f>1370.16*E70*F70</f>
        <v>41104.8</v>
      </c>
      <c r="H70" s="12">
        <f>4027.740948198*E70*F70</f>
        <v>120832.22844594</v>
      </c>
      <c r="I70" s="12">
        <f t="shared" si="8"/>
        <v>0</v>
      </c>
      <c r="J70" s="12">
        <f>1304.39232*E70*F70</f>
        <v>39131.7696</v>
      </c>
      <c r="K70" s="12">
        <f>368.62612975089*E70*F70</f>
        <v>11058.7838925267</v>
      </c>
      <c r="L70" s="12">
        <f>274.032*E70*F70</f>
        <v>8220.96</v>
      </c>
      <c r="M70" s="15">
        <f t="shared" si="9"/>
        <v>220348.5419384667</v>
      </c>
    </row>
    <row r="71" spans="2:13" ht="12">
      <c r="B71" s="7">
        <v>64</v>
      </c>
      <c r="C71" s="5" t="s">
        <v>125</v>
      </c>
      <c r="D71" s="5" t="s">
        <v>94</v>
      </c>
      <c r="E71" s="9">
        <v>0.3</v>
      </c>
      <c r="F71" s="9">
        <v>1</v>
      </c>
      <c r="G71" s="12">
        <f>25110.47*E71*F71</f>
        <v>7533.141</v>
      </c>
      <c r="H71" s="12">
        <f>200218.16631861*E71*F71</f>
        <v>60065.44989558299</v>
      </c>
      <c r="I71" s="12">
        <f t="shared" si="8"/>
        <v>0</v>
      </c>
      <c r="J71" s="12">
        <f>23905.16744*E71*F71</f>
        <v>7171.5502320000005</v>
      </c>
      <c r="K71" s="12">
        <f>13707.859206724*E71*F71</f>
        <v>4112.3577620172</v>
      </c>
      <c r="L71" s="12">
        <f>5022.094*E71*F71</f>
        <v>1506.6281999999999</v>
      </c>
      <c r="M71" s="15">
        <f t="shared" si="9"/>
        <v>80389.1270896002</v>
      </c>
    </row>
    <row r="72" spans="2:13" ht="24">
      <c r="B72" s="7">
        <v>65</v>
      </c>
      <c r="C72" s="5" t="s">
        <v>126</v>
      </c>
      <c r="D72" s="5" t="s">
        <v>94</v>
      </c>
      <c r="E72" s="9">
        <v>0.3</v>
      </c>
      <c r="F72" s="9">
        <v>1</v>
      </c>
      <c r="G72" s="12">
        <f>36768.9025*E72*F72</f>
        <v>11030.67075</v>
      </c>
      <c r="H72" s="12">
        <f>6064.03911861*E72*F72</f>
        <v>1819.2117355829998</v>
      </c>
      <c r="I72" s="12">
        <f t="shared" si="8"/>
        <v>0</v>
      </c>
      <c r="J72" s="12">
        <f>35003.99518*E72*F72</f>
        <v>10501.198553999999</v>
      </c>
      <c r="K72" s="12">
        <f>4281.0315239236*E72*F72</f>
        <v>1284.3094571770798</v>
      </c>
      <c r="L72" s="12">
        <f>7353.7805*E72*F72</f>
        <v>2206.13415</v>
      </c>
      <c r="M72" s="15">
        <f t="shared" si="9"/>
        <v>26841.524646760074</v>
      </c>
    </row>
    <row r="73" spans="2:13" ht="12">
      <c r="B73" s="7">
        <v>66</v>
      </c>
      <c r="C73" s="5" t="s">
        <v>127</v>
      </c>
      <c r="D73" s="5" t="s">
        <v>128</v>
      </c>
      <c r="E73" s="9">
        <v>0.3</v>
      </c>
      <c r="F73" s="9">
        <v>1</v>
      </c>
      <c r="G73" s="12">
        <f>5150.574*E73*F73</f>
        <v>1545.1721999999997</v>
      </c>
      <c r="H73" s="12">
        <f>18827.77980303*E73*F73</f>
        <v>5648.3339409089995</v>
      </c>
      <c r="I73" s="12">
        <f t="shared" si="8"/>
        <v>0</v>
      </c>
      <c r="J73" s="12">
        <f>4903.346448*E73*F73</f>
        <v>1471.0039344</v>
      </c>
      <c r="K73" s="12">
        <f>1588.4935138066*E73*F73</f>
        <v>476.54805414198</v>
      </c>
      <c r="L73" s="12">
        <f>1030.1148*E73*F73</f>
        <v>309.03444</v>
      </c>
      <c r="M73" s="15">
        <f t="shared" si="9"/>
        <v>9450.092569450979</v>
      </c>
    </row>
    <row r="74" spans="2:13" ht="24">
      <c r="B74" s="7">
        <v>67</v>
      </c>
      <c r="C74" s="5" t="s">
        <v>129</v>
      </c>
      <c r="D74" s="5" t="s">
        <v>130</v>
      </c>
      <c r="E74" s="9">
        <v>0.5</v>
      </c>
      <c r="F74" s="9">
        <v>1</v>
      </c>
      <c r="G74" s="12">
        <f>10278.0425*E74*F74</f>
        <v>5139.02125</v>
      </c>
      <c r="H74" s="12">
        <f>19017.1705086*E74*F74</f>
        <v>9508.5852543</v>
      </c>
      <c r="I74" s="12">
        <f t="shared" si="8"/>
        <v>0</v>
      </c>
      <c r="J74" s="12">
        <f>9784.69646*E74*F74</f>
        <v>4892.34823</v>
      </c>
      <c r="K74" s="12">
        <f>2149.395020773*E74*F74</f>
        <v>1074.6975103865</v>
      </c>
      <c r="L74" s="12">
        <f>2055.6085*E74*F74</f>
        <v>1027.80425</v>
      </c>
      <c r="M74" s="15">
        <f t="shared" si="9"/>
        <v>21642.456494686503</v>
      </c>
    </row>
    <row r="75" spans="2:13" ht="24">
      <c r="B75" s="7">
        <v>68</v>
      </c>
      <c r="C75" s="5" t="s">
        <v>131</v>
      </c>
      <c r="D75" s="5" t="s">
        <v>84</v>
      </c>
      <c r="E75" s="9">
        <v>1</v>
      </c>
      <c r="F75" s="9">
        <v>0.1</v>
      </c>
      <c r="G75" s="12">
        <f>1232.778945*E75*F75</f>
        <v>123.2778945</v>
      </c>
      <c r="H75" s="12">
        <f>57202.2*E75*F75</f>
        <v>5720.22</v>
      </c>
      <c r="I75" s="12">
        <f t="shared" si="8"/>
        <v>0</v>
      </c>
      <c r="J75" s="12">
        <f>1173.60555564*E75*F75</f>
        <v>117.360555564</v>
      </c>
      <c r="K75" s="12">
        <f>3278.4721475352*E75*F75</f>
        <v>327.84721475352</v>
      </c>
      <c r="L75" s="12">
        <f>246.555789*E75*F75</f>
        <v>24.655578900000002</v>
      </c>
      <c r="M75" s="15">
        <f t="shared" si="9"/>
        <v>6313.361243717521</v>
      </c>
    </row>
    <row r="76" spans="2:13" ht="36">
      <c r="B76" s="7">
        <v>69</v>
      </c>
      <c r="C76" s="5" t="s">
        <v>132</v>
      </c>
      <c r="D76" s="5" t="s">
        <v>133</v>
      </c>
      <c r="E76" s="9">
        <v>7.5</v>
      </c>
      <c r="F76" s="9">
        <v>1</v>
      </c>
      <c r="G76" s="12">
        <f>10887.18235*E76*F76</f>
        <v>81653.867625</v>
      </c>
      <c r="H76" s="12">
        <f>20295.26809002*E76*F76</f>
        <v>152214.51067515</v>
      </c>
      <c r="I76" s="12">
        <f t="shared" si="8"/>
        <v>0</v>
      </c>
      <c r="J76" s="12">
        <f>10364.5975972*E76*F76</f>
        <v>77734.481979</v>
      </c>
      <c r="K76" s="12">
        <f>2285.0876420471*E76*F76</f>
        <v>17138.157315353248</v>
      </c>
      <c r="L76" s="12">
        <f>2177.43647*E76*F76</f>
        <v>16330.773525</v>
      </c>
      <c r="M76" s="15">
        <f t="shared" si="9"/>
        <v>345071.7911195032</v>
      </c>
    </row>
    <row r="77" spans="2:13" ht="36">
      <c r="B77" s="7">
        <v>70</v>
      </c>
      <c r="C77" s="5" t="s">
        <v>134</v>
      </c>
      <c r="D77" s="5" t="s">
        <v>133</v>
      </c>
      <c r="E77" s="9">
        <v>1.2</v>
      </c>
      <c r="F77" s="9">
        <v>1</v>
      </c>
      <c r="G77" s="12">
        <f>12097.865725*E77*F77</f>
        <v>14517.43887</v>
      </c>
      <c r="H77" s="12">
        <f>22080.5684451*E77*F77</f>
        <v>26496.68213412</v>
      </c>
      <c r="I77" s="12">
        <f t="shared" si="8"/>
        <v>0</v>
      </c>
      <c r="J77" s="12">
        <f>11517.1681702*E77*F77</f>
        <v>13820.601804240001</v>
      </c>
      <c r="K77" s="12">
        <f>2513.2581287165*E77*F77</f>
        <v>3015.9097544598</v>
      </c>
      <c r="L77" s="12">
        <f>2419.573145*E77*F77</f>
        <v>2903.4877739999997</v>
      </c>
      <c r="M77" s="15">
        <f t="shared" si="9"/>
        <v>60754.120336819804</v>
      </c>
    </row>
    <row r="78" spans="2:13" ht="36">
      <c r="B78" s="7">
        <v>71</v>
      </c>
      <c r="C78" s="5" t="s">
        <v>135</v>
      </c>
      <c r="D78" s="5" t="s">
        <v>136</v>
      </c>
      <c r="E78" s="9">
        <v>0.24</v>
      </c>
      <c r="F78" s="9">
        <v>1</v>
      </c>
      <c r="G78" s="12">
        <f>3249.488*E78*F78</f>
        <v>779.8771199999999</v>
      </c>
      <c r="H78" s="12">
        <f>8635.6365282*E78*F78</f>
        <v>2072.552766768</v>
      </c>
      <c r="I78" s="12">
        <f t="shared" si="8"/>
        <v>0</v>
      </c>
      <c r="J78" s="12">
        <f>3093.512576*E78*F78</f>
        <v>742.44301824</v>
      </c>
      <c r="K78" s="12">
        <f>823.825040731*E78*F78</f>
        <v>197.71800977543998</v>
      </c>
      <c r="L78" s="12">
        <f>649.8976*E78*F78</f>
        <v>155.975424</v>
      </c>
      <c r="M78" s="15">
        <f t="shared" si="9"/>
        <v>3948.56633878344</v>
      </c>
    </row>
    <row r="79" spans="2:13" ht="12">
      <c r="B79" s="7">
        <v>72</v>
      </c>
      <c r="C79" s="5" t="s">
        <v>137</v>
      </c>
      <c r="D79" s="5" t="s">
        <v>138</v>
      </c>
      <c r="E79" s="9">
        <v>0.3</v>
      </c>
      <c r="F79" s="9">
        <v>1</v>
      </c>
      <c r="G79" s="12">
        <f>2842.72065*E79*F79</f>
        <v>852.816195</v>
      </c>
      <c r="H79" s="12">
        <f>2144.162260152*E79*F79</f>
        <v>643.2486780456</v>
      </c>
      <c r="I79" s="12">
        <f t="shared" si="8"/>
        <v>0</v>
      </c>
      <c r="J79" s="12">
        <f>2706.2700588*E79*F79</f>
        <v>811.8810176399999</v>
      </c>
      <c r="K79" s="12">
        <f>423.12341329236*E79*F79</f>
        <v>126.93702398770799</v>
      </c>
      <c r="L79" s="12">
        <f>568.54413*E79*F79</f>
        <v>170.56323899999998</v>
      </c>
      <c r="M79" s="15">
        <f t="shared" si="9"/>
        <v>2605.446153673308</v>
      </c>
    </row>
    <row r="80" spans="2:13" ht="12">
      <c r="B80" s="7">
        <v>73</v>
      </c>
      <c r="C80" s="5" t="s">
        <v>139</v>
      </c>
      <c r="D80" s="5" t="s">
        <v>138</v>
      </c>
      <c r="E80" s="9">
        <v>0.3</v>
      </c>
      <c r="F80" s="9">
        <v>1</v>
      </c>
      <c r="G80" s="12">
        <f>4120.4592*E80*F80</f>
        <v>1236.13776</v>
      </c>
      <c r="H80" s="12">
        <f>3352.389543063*E80*F80</f>
        <v>1005.7168629189</v>
      </c>
      <c r="I80" s="12">
        <f t="shared" si="8"/>
        <v>0</v>
      </c>
      <c r="J80" s="12">
        <f>3922.6771584*E80*F80</f>
        <v>1176.8031475199998</v>
      </c>
      <c r="K80" s="12">
        <f>626.75392458047*E80*F80</f>
        <v>188.02617737414099</v>
      </c>
      <c r="L80" s="12">
        <f>824.09184*E80*F80</f>
        <v>247.227552</v>
      </c>
      <c r="M80" s="15">
        <f t="shared" si="9"/>
        <v>3853.911499813041</v>
      </c>
    </row>
    <row r="81" spans="2:13" ht="12">
      <c r="B81" s="7">
        <v>74</v>
      </c>
      <c r="C81" s="5" t="s">
        <v>140</v>
      </c>
      <c r="D81" s="5" t="s">
        <v>138</v>
      </c>
      <c r="E81" s="9">
        <v>0.3</v>
      </c>
      <c r="F81" s="9">
        <v>1</v>
      </c>
      <c r="G81" s="12">
        <f>7032.5145*E81*F81</f>
        <v>2109.75435</v>
      </c>
      <c r="H81" s="12">
        <f>5594.14448109*E81*F81</f>
        <v>1678.243344327</v>
      </c>
      <c r="I81" s="12">
        <f t="shared" si="8"/>
        <v>0</v>
      </c>
      <c r="J81" s="12">
        <f>6694.953804*E81*F81</f>
        <v>2008.4861411999998</v>
      </c>
      <c r="K81" s="12">
        <f>1062.68870318*E81*F81</f>
        <v>318.80661095399995</v>
      </c>
      <c r="L81" s="12">
        <f>1406.5029*E81*F81</f>
        <v>421.95086999999995</v>
      </c>
      <c r="M81" s="15">
        <f t="shared" si="9"/>
        <v>6537.241316481</v>
      </c>
    </row>
    <row r="82" spans="2:13" ht="36">
      <c r="B82" s="7">
        <v>75</v>
      </c>
      <c r="C82" s="5" t="s">
        <v>141</v>
      </c>
      <c r="D82" s="5" t="s">
        <v>142</v>
      </c>
      <c r="E82" s="9">
        <v>0.3</v>
      </c>
      <c r="F82" s="9">
        <v>1</v>
      </c>
      <c r="G82" s="12">
        <f>11.41712*E82*F82</f>
        <v>3.425136</v>
      </c>
      <c r="H82" s="12">
        <f>0.8361421992*E82*F82</f>
        <v>0.25084265976</v>
      </c>
      <c r="I82" s="12">
        <f t="shared" si="8"/>
        <v>0</v>
      </c>
      <c r="J82" s="12">
        <f>10.86909824*E82*F82</f>
        <v>3.260729472</v>
      </c>
      <c r="K82" s="12">
        <f>1.271729824156*E82*F82</f>
        <v>0.38151894724679997</v>
      </c>
      <c r="L82" s="12">
        <f>2.283424*E82*F82</f>
        <v>0.6850272000000001</v>
      </c>
      <c r="M82" s="15">
        <f t="shared" si="9"/>
        <v>8.0032542790068</v>
      </c>
    </row>
    <row r="83" spans="2:13" ht="36">
      <c r="B83" s="7">
        <v>76</v>
      </c>
      <c r="C83" s="5" t="s">
        <v>143</v>
      </c>
      <c r="D83" s="5" t="s">
        <v>142</v>
      </c>
      <c r="E83" s="9">
        <v>0.3</v>
      </c>
      <c r="F83" s="9">
        <v>1</v>
      </c>
      <c r="G83" s="12">
        <f>11.41712*E83*F83</f>
        <v>3.425136</v>
      </c>
      <c r="H83" s="12">
        <f>1.7692053984*E83*F83</f>
        <v>0.53076161952</v>
      </c>
      <c r="I83" s="12">
        <f t="shared" si="8"/>
        <v>0</v>
      </c>
      <c r="J83" s="12">
        <f>10.86909824*E83*F83</f>
        <v>3.260729472</v>
      </c>
      <c r="K83" s="12">
        <f>1.323048300112*E83*F83</f>
        <v>0.39691449003359996</v>
      </c>
      <c r="L83" s="12">
        <f>2.283424*E83*F83</f>
        <v>0.6850272000000001</v>
      </c>
      <c r="M83" s="15">
        <f t="shared" si="9"/>
        <v>8.2985687815536</v>
      </c>
    </row>
    <row r="84" spans="2:13" ht="36">
      <c r="B84" s="7">
        <v>77</v>
      </c>
      <c r="C84" s="5" t="s">
        <v>144</v>
      </c>
      <c r="D84" s="5" t="s">
        <v>142</v>
      </c>
      <c r="E84" s="9">
        <v>1</v>
      </c>
      <c r="F84" s="9">
        <v>1</v>
      </c>
      <c r="G84" s="12">
        <f>11.41712*E84*F84</f>
        <v>11.41712</v>
      </c>
      <c r="H84" s="12">
        <f>2.7022685976*E84*F84</f>
        <v>2.7022685976</v>
      </c>
      <c r="I84" s="12">
        <f t="shared" si="8"/>
        <v>0</v>
      </c>
      <c r="J84" s="12">
        <f>10.86909824*E84*F84</f>
        <v>10.86909824</v>
      </c>
      <c r="K84" s="12">
        <f>1.374366776068*E84*F84</f>
        <v>1.374366776068</v>
      </c>
      <c r="L84" s="12">
        <f>2.283424*E84*F84</f>
        <v>2.283424</v>
      </c>
      <c r="M84" s="15">
        <f t="shared" si="9"/>
        <v>28.646277613668</v>
      </c>
    </row>
    <row r="85" spans="2:13" ht="24">
      <c r="B85" s="7">
        <v>78</v>
      </c>
      <c r="C85" s="5" t="s">
        <v>145</v>
      </c>
      <c r="D85" s="5" t="s">
        <v>146</v>
      </c>
      <c r="E85" s="9">
        <v>1</v>
      </c>
      <c r="F85" s="9">
        <v>1</v>
      </c>
      <c r="G85" s="12">
        <f>118.8594*E85*F85</f>
        <v>118.8594</v>
      </c>
      <c r="H85" s="12">
        <f>0*E85*F85</f>
        <v>0</v>
      </c>
      <c r="I85" s="12">
        <f t="shared" si="8"/>
        <v>0</v>
      </c>
      <c r="J85" s="12">
        <f>113.1541488*E85*F85</f>
        <v>113.1541488</v>
      </c>
      <c r="K85" s="12">
        <f>12.760745184*E85*F85</f>
        <v>12.760745184</v>
      </c>
      <c r="L85" s="12">
        <f>23.77188*E85*F85</f>
        <v>23.77188</v>
      </c>
      <c r="M85" s="15">
        <f t="shared" si="9"/>
        <v>268.546173984</v>
      </c>
    </row>
    <row r="86" spans="2:13" ht="12">
      <c r="B86" s="7">
        <v>79</v>
      </c>
      <c r="C86" s="5" t="s">
        <v>147</v>
      </c>
      <c r="D86" s="5" t="s">
        <v>146</v>
      </c>
      <c r="E86" s="9">
        <v>1</v>
      </c>
      <c r="F86" s="9">
        <v>1</v>
      </c>
      <c r="G86" s="12">
        <f>864.98*E86*F86</f>
        <v>864.98</v>
      </c>
      <c r="H86" s="12">
        <f>6633*E86*F86</f>
        <v>6633</v>
      </c>
      <c r="I86" s="12">
        <f t="shared" si="8"/>
        <v>0</v>
      </c>
      <c r="J86" s="12">
        <f>823.46096*E86*F86</f>
        <v>823.46096</v>
      </c>
      <c r="K86" s="12">
        <f>457.6792528*E86*F86</f>
        <v>457.6792528</v>
      </c>
      <c r="L86" s="12">
        <f>172.996*E86*F86</f>
        <v>172.996</v>
      </c>
      <c r="M86" s="15">
        <f t="shared" si="9"/>
        <v>8952.1162128</v>
      </c>
    </row>
    <row r="87" spans="2:13" ht="24">
      <c r="B87" s="7">
        <v>80</v>
      </c>
      <c r="C87" s="5" t="s">
        <v>148</v>
      </c>
      <c r="D87" s="5" t="s">
        <v>119</v>
      </c>
      <c r="E87" s="9">
        <v>0.37</v>
      </c>
      <c r="F87" s="9">
        <v>1</v>
      </c>
      <c r="G87" s="12">
        <f>8322.6825*E87*F87</f>
        <v>3079.392525</v>
      </c>
      <c r="H87" s="12">
        <f>377010.04125906*E87*F87</f>
        <v>139493.7152658522</v>
      </c>
      <c r="I87" s="12">
        <f t="shared" si="8"/>
        <v>0</v>
      </c>
      <c r="J87" s="12">
        <f>7923.19374*E87*F87</f>
        <v>2931.5816838</v>
      </c>
      <c r="K87" s="12">
        <f>21629.075462448*E87*F87</f>
        <v>8002.75792110576</v>
      </c>
      <c r="L87" s="12">
        <f>1664.5365*E87*F87</f>
        <v>615.878505</v>
      </c>
      <c r="M87" s="15">
        <f t="shared" si="9"/>
        <v>154123.32590075795</v>
      </c>
    </row>
    <row r="88" spans="2:13" ht="36">
      <c r="B88" s="7">
        <v>81</v>
      </c>
      <c r="C88" s="5" t="s">
        <v>149</v>
      </c>
      <c r="D88" s="5" t="s">
        <v>150</v>
      </c>
      <c r="E88" s="9">
        <v>0.37</v>
      </c>
      <c r="F88" s="9">
        <v>1</v>
      </c>
      <c r="G88" s="12">
        <f>4267.455764*E88*F88</f>
        <v>1578.9586326800002</v>
      </c>
      <c r="H88" s="12">
        <f>1179.66069738*E88*F88</f>
        <v>436.47445803060003</v>
      </c>
      <c r="I88" s="12">
        <f t="shared" si="8"/>
        <v>0</v>
      </c>
      <c r="J88" s="12">
        <f>4062.617887328*E88*F88</f>
        <v>1503.16861831136</v>
      </c>
      <c r="K88" s="12">
        <f>523.03538917894*E88*F88</f>
        <v>193.52309399620782</v>
      </c>
      <c r="L88" s="12">
        <f>853.4911528*E88*F88</f>
        <v>315.791726536</v>
      </c>
      <c r="M88" s="15">
        <f t="shared" si="9"/>
        <v>4027.9165295541684</v>
      </c>
    </row>
    <row r="89" spans="2:13" ht="36">
      <c r="B89" s="7">
        <v>82</v>
      </c>
      <c r="C89" s="5" t="s">
        <v>151</v>
      </c>
      <c r="D89" s="5" t="s">
        <v>150</v>
      </c>
      <c r="E89" s="9">
        <v>0.37</v>
      </c>
      <c r="F89" s="9">
        <v>1</v>
      </c>
      <c r="G89" s="12">
        <f>184.7153*E89*F89</f>
        <v>68.344661</v>
      </c>
      <c r="H89" s="12">
        <f>0*E89*F89</f>
        <v>0</v>
      </c>
      <c r="I89" s="12">
        <f t="shared" si="8"/>
        <v>0</v>
      </c>
      <c r="J89" s="12">
        <f>175.8489656*E89*F89</f>
        <v>65.064117272</v>
      </c>
      <c r="K89" s="12">
        <f>19.831034608*E89*F89</f>
        <v>7.33748280496</v>
      </c>
      <c r="L89" s="12">
        <f>36.94306*E89*F89</f>
        <v>13.6689322</v>
      </c>
      <c r="M89" s="15">
        <f t="shared" si="9"/>
        <v>154.41519327696</v>
      </c>
    </row>
    <row r="90" spans="2:13" ht="24">
      <c r="B90" s="7">
        <v>83</v>
      </c>
      <c r="C90" s="5" t="s">
        <v>152</v>
      </c>
      <c r="D90" s="5" t="s">
        <v>22</v>
      </c>
      <c r="E90" s="9">
        <v>2.625</v>
      </c>
      <c r="F90" s="9">
        <v>4</v>
      </c>
      <c r="G90" s="12">
        <f>7568.37675*E90*F90</f>
        <v>79467.955875</v>
      </c>
      <c r="H90" s="12">
        <f>7958.11274082*E90*F90</f>
        <v>83560.18377861</v>
      </c>
      <c r="I90" s="12">
        <f t="shared" si="8"/>
        <v>0</v>
      </c>
      <c r="J90" s="12">
        <f>7205.094666*E90*F90</f>
        <v>75653.493993</v>
      </c>
      <c r="K90" s="12">
        <f>1250.2371286251*E90*F90</f>
        <v>13127.48985056355</v>
      </c>
      <c r="L90" s="12">
        <f>1513.67535*E90*F90</f>
        <v>15893.591175</v>
      </c>
      <c r="M90" s="15">
        <f t="shared" si="9"/>
        <v>267702.71467217355</v>
      </c>
    </row>
    <row r="91" spans="2:13" ht="24">
      <c r="B91" s="7">
        <v>84</v>
      </c>
      <c r="C91" s="5" t="s">
        <v>153</v>
      </c>
      <c r="D91" s="5" t="s">
        <v>22</v>
      </c>
      <c r="E91" s="9">
        <v>1.125</v>
      </c>
      <c r="F91" s="9">
        <v>4</v>
      </c>
      <c r="G91" s="12">
        <f>9623.98525*E91*F91</f>
        <v>43307.933625</v>
      </c>
      <c r="H91" s="12">
        <f>15460.92620721*E91*F91</f>
        <v>69574.167932445</v>
      </c>
      <c r="I91" s="12">
        <f t="shared" si="8"/>
        <v>0</v>
      </c>
      <c r="J91" s="12">
        <f>9162.033958*E91*F91</f>
        <v>41229.152811</v>
      </c>
      <c r="K91" s="12">
        <f>1883.5819978366*E91*F91</f>
        <v>8476.1189902647</v>
      </c>
      <c r="L91" s="12">
        <f>1924.79705*E91*F91</f>
        <v>8661.586725</v>
      </c>
      <c r="M91" s="15">
        <f t="shared" si="9"/>
        <v>171248.96008370968</v>
      </c>
    </row>
    <row r="92" spans="2:13" ht="24">
      <c r="B92" s="7">
        <v>85</v>
      </c>
      <c r="C92" s="5" t="s">
        <v>154</v>
      </c>
      <c r="D92" s="5" t="s">
        <v>22</v>
      </c>
      <c r="E92" s="9">
        <v>0.1</v>
      </c>
      <c r="F92" s="9">
        <v>1</v>
      </c>
      <c r="G92" s="12">
        <f>12427.08775*E92*F92</f>
        <v>1242.708775</v>
      </c>
      <c r="H92" s="12">
        <f>34166.03080077*E92*F92</f>
        <v>3416.6030800770004</v>
      </c>
      <c r="I92" s="12">
        <f t="shared" si="8"/>
        <v>0</v>
      </c>
      <c r="J92" s="12">
        <f>11830.587538*E92*F92</f>
        <v>1183.0587538</v>
      </c>
      <c r="K92" s="12">
        <f>3213.3038348824*E92*F92</f>
        <v>321.33038348824005</v>
      </c>
      <c r="L92" s="12">
        <f>2485.41755*E92*F92</f>
        <v>248.54175500000002</v>
      </c>
      <c r="M92" s="15">
        <f t="shared" si="9"/>
        <v>6412.242747365241</v>
      </c>
    </row>
    <row r="93" spans="2:13" ht="12">
      <c r="B93" s="7">
        <v>86</v>
      </c>
      <c r="C93" s="5" t="s">
        <v>155</v>
      </c>
      <c r="D93" s="5" t="s">
        <v>22</v>
      </c>
      <c r="E93" s="9">
        <v>0.3</v>
      </c>
      <c r="F93" s="9">
        <v>1</v>
      </c>
      <c r="G93" s="12">
        <f>28778.519*E93*F93</f>
        <v>8633.555699999999</v>
      </c>
      <c r="H93" s="12">
        <f>109881.674991*E93*F93</f>
        <v>32964.5024973</v>
      </c>
      <c r="I93" s="12">
        <f t="shared" si="8"/>
        <v>0</v>
      </c>
      <c r="J93" s="12">
        <f>27397.150088*E93*F93</f>
        <v>8219.1450264</v>
      </c>
      <c r="K93" s="12">
        <f>9133.153924345*E93*F93</f>
        <v>2739.9461773035</v>
      </c>
      <c r="L93" s="12">
        <f>5755.7038*E93*F93</f>
        <v>1726.7111400000001</v>
      </c>
      <c r="M93" s="15">
        <f t="shared" si="9"/>
        <v>54283.8605410035</v>
      </c>
    </row>
    <row r="94" spans="2:13" ht="36">
      <c r="B94" s="7">
        <v>87</v>
      </c>
      <c r="C94" s="5" t="s">
        <v>156</v>
      </c>
      <c r="D94" s="5" t="s">
        <v>133</v>
      </c>
      <c r="E94" s="9">
        <v>2.4</v>
      </c>
      <c r="F94" s="9">
        <v>1</v>
      </c>
      <c r="G94" s="12">
        <f>5898.5168*E94*F94</f>
        <v>14156.44032</v>
      </c>
      <c r="H94" s="12">
        <f>15049.953864*E94*F94</f>
        <v>36119.8892736</v>
      </c>
      <c r="I94" s="12">
        <f t="shared" si="8"/>
        <v>0</v>
      </c>
      <c r="J94" s="12">
        <f>5615.3879936*E94*F94</f>
        <v>13476.93118464</v>
      </c>
      <c r="K94" s="12">
        <f>1461.012226168*E94*F94</f>
        <v>3506.4293428032</v>
      </c>
      <c r="L94" s="12">
        <f>1179.70336*E94*F94</f>
        <v>2831.288064</v>
      </c>
      <c r="M94" s="15">
        <f t="shared" si="9"/>
        <v>70090.97818504319</v>
      </c>
    </row>
    <row r="95" spans="2:13" ht="36">
      <c r="B95" s="7">
        <v>88</v>
      </c>
      <c r="C95" s="5" t="s">
        <v>157</v>
      </c>
      <c r="D95" s="5" t="s">
        <v>133</v>
      </c>
      <c r="E95" s="9">
        <v>4.5</v>
      </c>
      <c r="F95" s="9">
        <v>1</v>
      </c>
      <c r="G95" s="12">
        <f>6252.0238*E95*F95</f>
        <v>28134.1071</v>
      </c>
      <c r="H95" s="12">
        <f>8787.0749472*E95*F95</f>
        <v>39541.837262400004</v>
      </c>
      <c r="I95" s="12">
        <f aca="true" t="shared" si="10" ref="I95:I126">0*E95*F95</f>
        <v>0</v>
      </c>
      <c r="J95" s="12">
        <f>5951.9266576*E95*F95</f>
        <v>26783.6699592</v>
      </c>
      <c r="K95" s="12">
        <f>1154.506397264*E95*F95</f>
        <v>5195.278787688</v>
      </c>
      <c r="L95" s="12">
        <f>1250.40476*E95*F95</f>
        <v>5626.821419999999</v>
      </c>
      <c r="M95" s="15">
        <f aca="true" t="shared" si="11" ref="M95:M126">SUM(G95:L95)</f>
        <v>105281.714529288</v>
      </c>
    </row>
    <row r="96" spans="2:13" ht="36">
      <c r="B96" s="7">
        <v>89</v>
      </c>
      <c r="C96" s="5" t="s">
        <v>158</v>
      </c>
      <c r="D96" s="5" t="s">
        <v>133</v>
      </c>
      <c r="E96" s="9">
        <v>2.4</v>
      </c>
      <c r="F96" s="9">
        <v>1</v>
      </c>
      <c r="G96" s="12">
        <f>5898.5168*E96*F96</f>
        <v>14156.44032</v>
      </c>
      <c r="H96" s="12">
        <f>15049.953864*E96*F96</f>
        <v>36119.8892736</v>
      </c>
      <c r="I96" s="12">
        <f t="shared" si="10"/>
        <v>0</v>
      </c>
      <c r="J96" s="12">
        <f>5615.3879936*E96*F96</f>
        <v>13476.93118464</v>
      </c>
      <c r="K96" s="12">
        <f>1461.012226168*E96*F96</f>
        <v>3506.4293428032</v>
      </c>
      <c r="L96" s="12">
        <f>1179.70336*E96*F96</f>
        <v>2831.288064</v>
      </c>
      <c r="M96" s="15">
        <f t="shared" si="11"/>
        <v>70090.97818504319</v>
      </c>
    </row>
    <row r="97" spans="2:13" ht="36">
      <c r="B97" s="7">
        <v>90</v>
      </c>
      <c r="C97" s="5" t="s">
        <v>159</v>
      </c>
      <c r="D97" s="5" t="s">
        <v>133</v>
      </c>
      <c r="E97" s="9">
        <v>4.5</v>
      </c>
      <c r="F97" s="9">
        <v>1</v>
      </c>
      <c r="G97" s="12">
        <f>6252.0238*E97*F97</f>
        <v>28134.1071</v>
      </c>
      <c r="H97" s="12">
        <f>8787.0749472*E97*F97</f>
        <v>39541.837262400004</v>
      </c>
      <c r="I97" s="12">
        <f t="shared" si="10"/>
        <v>0</v>
      </c>
      <c r="J97" s="12">
        <f>5951.9266576*E97*F97</f>
        <v>26783.6699592</v>
      </c>
      <c r="K97" s="12">
        <f>1154.506397264*E97*F97</f>
        <v>5195.278787688</v>
      </c>
      <c r="L97" s="12">
        <f>1250.40476*E97*F97</f>
        <v>5626.821419999999</v>
      </c>
      <c r="M97" s="15">
        <f t="shared" si="11"/>
        <v>105281.714529288</v>
      </c>
    </row>
    <row r="98" spans="2:13" ht="24">
      <c r="B98" s="7">
        <v>91</v>
      </c>
      <c r="C98" s="5" t="s">
        <v>160</v>
      </c>
      <c r="D98" s="5" t="s">
        <v>161</v>
      </c>
      <c r="E98" s="9">
        <v>30</v>
      </c>
      <c r="F98" s="9">
        <v>1</v>
      </c>
      <c r="G98" s="12">
        <f>887.0224*E98*F98</f>
        <v>26610.672</v>
      </c>
      <c r="H98" s="12">
        <f>423.1478295*E98*F98</f>
        <v>12694.434885</v>
      </c>
      <c r="I98" s="12">
        <f t="shared" si="10"/>
        <v>0</v>
      </c>
      <c r="J98" s="12">
        <f>844.4453248*E98*F98</f>
        <v>25333.359744</v>
      </c>
      <c r="K98" s="12">
        <f>118.5038554865*E98*F98</f>
        <v>3555.115664595</v>
      </c>
      <c r="L98" s="12">
        <f>177.40448*E98*F98</f>
        <v>5322.1344</v>
      </c>
      <c r="M98" s="15">
        <f t="shared" si="11"/>
        <v>73515.716693595</v>
      </c>
    </row>
    <row r="99" spans="2:13" ht="24">
      <c r="B99" s="7">
        <v>92</v>
      </c>
      <c r="C99" s="5" t="s">
        <v>162</v>
      </c>
      <c r="D99" s="5" t="s">
        <v>163</v>
      </c>
      <c r="E99" s="9">
        <v>0.6</v>
      </c>
      <c r="F99" s="9">
        <v>1</v>
      </c>
      <c r="G99" s="12">
        <f>2722.544*E99*F99</f>
        <v>1633.5264</v>
      </c>
      <c r="H99" s="12">
        <f>132237.0126*E99*F99</f>
        <v>79342.20756</v>
      </c>
      <c r="I99" s="12">
        <f t="shared" si="10"/>
        <v>0</v>
      </c>
      <c r="J99" s="12">
        <f>2591.861888*E99*F99</f>
        <v>1555.1171327999998</v>
      </c>
      <c r="K99" s="12">
        <f>7565.32801684*E99*F99</f>
        <v>4539.196810103999</v>
      </c>
      <c r="L99" s="12">
        <f>544.5088*E99*F99</f>
        <v>326.70527999999996</v>
      </c>
      <c r="M99" s="15">
        <f t="shared" si="11"/>
        <v>87396.753182904</v>
      </c>
    </row>
    <row r="100" spans="2:13" ht="24">
      <c r="B100" s="7">
        <v>93</v>
      </c>
      <c r="C100" s="5" t="s">
        <v>164</v>
      </c>
      <c r="D100" s="5" t="s">
        <v>165</v>
      </c>
      <c r="E100" s="9">
        <v>0.6</v>
      </c>
      <c r="F100" s="9">
        <v>1</v>
      </c>
      <c r="G100" s="12">
        <f>4654.672*E100*F100</f>
        <v>2792.8032</v>
      </c>
      <c r="H100" s="12">
        <f>2185.00850007*E100*F100</f>
        <v>1311.005100042</v>
      </c>
      <c r="I100" s="12">
        <f t="shared" si="10"/>
        <v>0</v>
      </c>
      <c r="J100" s="12">
        <f>4431.247744*E100*F100</f>
        <v>2658.7486464</v>
      </c>
      <c r="K100" s="12">
        <f>619.90105342385*E100*F100</f>
        <v>371.94063205431</v>
      </c>
      <c r="L100" s="12">
        <f>930.9344*E100*F100</f>
        <v>558.5606399999999</v>
      </c>
      <c r="M100" s="15">
        <f t="shared" si="11"/>
        <v>7693.0582184963105</v>
      </c>
    </row>
    <row r="101" spans="2:13" ht="36">
      <c r="B101" s="7">
        <v>94</v>
      </c>
      <c r="C101" s="5" t="s">
        <v>166</v>
      </c>
      <c r="D101" s="5" t="s">
        <v>167</v>
      </c>
      <c r="E101" s="9">
        <v>450</v>
      </c>
      <c r="F101" s="9">
        <v>1</v>
      </c>
      <c r="G101" s="12">
        <f>28.98192*E101*F101</f>
        <v>13041.864</v>
      </c>
      <c r="H101" s="12">
        <f>0*E101*F101</f>
        <v>0</v>
      </c>
      <c r="I101" s="12">
        <f t="shared" si="10"/>
        <v>0</v>
      </c>
      <c r="J101" s="12">
        <f>27.59078784*E101*F101</f>
        <v>12415.854528</v>
      </c>
      <c r="K101" s="12">
        <f>3.1114989312*E101*F101</f>
        <v>1400.17451904</v>
      </c>
      <c r="L101" s="12">
        <f>5.796384*E101*F101</f>
        <v>2608.3728</v>
      </c>
      <c r="M101" s="15">
        <f t="shared" si="11"/>
        <v>29466.26584704</v>
      </c>
    </row>
    <row r="102" spans="2:13" ht="36">
      <c r="B102" s="7">
        <v>95</v>
      </c>
      <c r="C102" s="5" t="s">
        <v>168</v>
      </c>
      <c r="D102" s="5" t="s">
        <v>167</v>
      </c>
      <c r="E102" s="9">
        <v>450</v>
      </c>
      <c r="F102" s="9">
        <v>1</v>
      </c>
      <c r="G102" s="12">
        <f>45.66848*E102*F102</f>
        <v>20550.816000000003</v>
      </c>
      <c r="H102" s="12">
        <f>0*E102*F102</f>
        <v>0</v>
      </c>
      <c r="I102" s="12">
        <f t="shared" si="10"/>
        <v>0</v>
      </c>
      <c r="J102" s="12">
        <f>43.47639296*E102*F102</f>
        <v>19564.376831999998</v>
      </c>
      <c r="K102" s="12">
        <f>4.9029680128*E102*F102</f>
        <v>2206.33560576</v>
      </c>
      <c r="L102" s="12">
        <f>9.133696*E102*F102</f>
        <v>4110.1632</v>
      </c>
      <c r="M102" s="15">
        <f t="shared" si="11"/>
        <v>46431.69163776001</v>
      </c>
    </row>
    <row r="103" spans="2:13" ht="24">
      <c r="B103" s="7">
        <v>96</v>
      </c>
      <c r="C103" s="5" t="s">
        <v>169</v>
      </c>
      <c r="D103" s="5" t="s">
        <v>170</v>
      </c>
      <c r="E103" s="9">
        <v>30</v>
      </c>
      <c r="F103" s="9">
        <v>1</v>
      </c>
      <c r="G103" s="12">
        <f>38.64256*E103*F103</f>
        <v>1159.2768</v>
      </c>
      <c r="H103" s="12">
        <f>173.745*E103*F103</f>
        <v>5212.35</v>
      </c>
      <c r="I103" s="12">
        <f t="shared" si="10"/>
        <v>0</v>
      </c>
      <c r="J103" s="12">
        <f>36.78771712*E103*F103</f>
        <v>1103.6315136</v>
      </c>
      <c r="K103" s="12">
        <f>13.7046402416*E103*F103</f>
        <v>411.139207248</v>
      </c>
      <c r="L103" s="12">
        <f>7.728512*E103*F103</f>
        <v>231.85536000000002</v>
      </c>
      <c r="M103" s="15">
        <f t="shared" si="11"/>
        <v>8118.252880848</v>
      </c>
    </row>
    <row r="104" spans="2:13" ht="24">
      <c r="B104" s="7">
        <v>97</v>
      </c>
      <c r="C104" s="5" t="s">
        <v>171</v>
      </c>
      <c r="D104" s="5" t="s">
        <v>172</v>
      </c>
      <c r="E104" s="9">
        <v>30</v>
      </c>
      <c r="F104" s="9">
        <v>1</v>
      </c>
      <c r="G104" s="12">
        <f>104.99247*E104*F104</f>
        <v>3149.7741</v>
      </c>
      <c r="H104" s="12">
        <f>1271.0709*E104*F104</f>
        <v>38132.127</v>
      </c>
      <c r="I104" s="12">
        <f t="shared" si="10"/>
        <v>0</v>
      </c>
      <c r="J104" s="12">
        <f>99.95283144*E104*F104</f>
        <v>2998.5849432</v>
      </c>
      <c r="K104" s="12">
        <f>81.1808910792*E104*F104</f>
        <v>2435.426732376</v>
      </c>
      <c r="L104" s="12">
        <f>20.998494*E104*F104</f>
        <v>629.95482</v>
      </c>
      <c r="M104" s="15">
        <f t="shared" si="11"/>
        <v>47345.867595576005</v>
      </c>
    </row>
    <row r="105" spans="2:13" ht="12">
      <c r="B105" s="7">
        <v>98</v>
      </c>
      <c r="C105" s="5" t="s">
        <v>173</v>
      </c>
      <c r="D105" s="5" t="s">
        <v>174</v>
      </c>
      <c r="E105" s="9">
        <v>30</v>
      </c>
      <c r="F105" s="9">
        <v>1</v>
      </c>
      <c r="G105" s="12">
        <f>21.956*E105*F105</f>
        <v>658.68</v>
      </c>
      <c r="H105" s="12">
        <f>3829.0032*E105*F105</f>
        <v>114870.096</v>
      </c>
      <c r="I105" s="12">
        <f t="shared" si="10"/>
        <v>0</v>
      </c>
      <c r="J105" s="12">
        <f>20.902112*E105*F105</f>
        <v>627.06336</v>
      </c>
      <c r="K105" s="12">
        <f>212.95237216*E105*F105</f>
        <v>6388.571164800001</v>
      </c>
      <c r="L105" s="12">
        <f>4.3912*E105*F105</f>
        <v>131.73600000000002</v>
      </c>
      <c r="M105" s="15">
        <f t="shared" si="11"/>
        <v>122676.1465248</v>
      </c>
    </row>
    <row r="106" spans="2:13" ht="12">
      <c r="B106" s="7">
        <v>99</v>
      </c>
      <c r="C106" s="5" t="s">
        <v>175</v>
      </c>
      <c r="D106" s="5" t="s">
        <v>176</v>
      </c>
      <c r="E106" s="9">
        <v>97</v>
      </c>
      <c r="F106" s="9">
        <v>1</v>
      </c>
      <c r="G106" s="12">
        <f>7.02592*E106*F106</f>
        <v>681.51424</v>
      </c>
      <c r="H106" s="12">
        <f>655.578*E106*F106</f>
        <v>63591.066</v>
      </c>
      <c r="I106" s="12">
        <f t="shared" si="10"/>
        <v>0</v>
      </c>
      <c r="J106" s="12">
        <f>6.68867584*E106*F106</f>
        <v>648.80155648</v>
      </c>
      <c r="K106" s="12">
        <f>36.8110927712*E106*F106</f>
        <v>3570.6759988064</v>
      </c>
      <c r="L106" s="12">
        <f>1.405184*E106*F106</f>
        <v>136.302848</v>
      </c>
      <c r="M106" s="15">
        <f t="shared" si="11"/>
        <v>68628.3606432864</v>
      </c>
    </row>
    <row r="107" spans="2:13" ht="12">
      <c r="B107" s="7">
        <v>100</v>
      </c>
      <c r="C107" s="5" t="s">
        <v>177</v>
      </c>
      <c r="D107" s="5" t="s">
        <v>178</v>
      </c>
      <c r="E107" s="9">
        <v>0.18</v>
      </c>
      <c r="F107" s="9">
        <v>1</v>
      </c>
      <c r="G107" s="12">
        <f>17564.8*E107*F107</f>
        <v>3161.6639999999998</v>
      </c>
      <c r="H107" s="12">
        <f>27574.0982253*E107*F107</f>
        <v>4963.337680554</v>
      </c>
      <c r="I107" s="12">
        <f t="shared" si="10"/>
        <v>0</v>
      </c>
      <c r="J107" s="12">
        <f>16721.6896*E107*F107</f>
        <v>3009.904128</v>
      </c>
      <c r="K107" s="12">
        <f>3402.3323303915*E107*F107</f>
        <v>612.41981947047</v>
      </c>
      <c r="L107" s="12">
        <f>3512.96*E107*F107</f>
        <v>632.3328</v>
      </c>
      <c r="M107" s="15">
        <f t="shared" si="11"/>
        <v>12379.65842802447</v>
      </c>
    </row>
    <row r="108" spans="2:13" ht="12">
      <c r="B108" s="7">
        <v>101</v>
      </c>
      <c r="C108" s="5" t="s">
        <v>179</v>
      </c>
      <c r="D108" s="5" t="s">
        <v>180</v>
      </c>
      <c r="E108" s="9">
        <v>97</v>
      </c>
      <c r="F108" s="9">
        <v>1</v>
      </c>
      <c r="G108" s="12">
        <f>119.849895*E108*F108</f>
        <v>11625.439815</v>
      </c>
      <c r="H108" s="12">
        <f>16.082616924*E108*F108</f>
        <v>1560.013841628</v>
      </c>
      <c r="I108" s="12">
        <f t="shared" si="10"/>
        <v>0</v>
      </c>
      <c r="J108" s="12">
        <f>114.09710004*E108*F108</f>
        <v>11067.418703880001</v>
      </c>
      <c r="K108" s="12">
        <f>13.75162865802*E108*F108</f>
        <v>1333.90797982794</v>
      </c>
      <c r="L108" s="12">
        <f>23.969979*E108*F108</f>
        <v>2325.087963</v>
      </c>
      <c r="M108" s="15">
        <f t="shared" si="11"/>
        <v>27911.86830333594</v>
      </c>
    </row>
    <row r="109" spans="2:13" ht="24">
      <c r="B109" s="7">
        <v>102</v>
      </c>
      <c r="C109" s="5" t="s">
        <v>181</v>
      </c>
      <c r="D109" s="5" t="s">
        <v>182</v>
      </c>
      <c r="E109" s="9">
        <v>30</v>
      </c>
      <c r="F109" s="9">
        <v>1</v>
      </c>
      <c r="G109" s="12">
        <f>117.868905*E109*F109</f>
        <v>3536.06715</v>
      </c>
      <c r="H109" s="12">
        <f>533.49504912*E109*F109</f>
        <v>16004.8514736</v>
      </c>
      <c r="I109" s="12">
        <f t="shared" si="10"/>
        <v>0</v>
      </c>
      <c r="J109" s="12">
        <f>112.21119756*E109*F109</f>
        <v>3366.3359268</v>
      </c>
      <c r="K109" s="12">
        <f>41.9966333424*E109*F109</f>
        <v>1259.8990002720002</v>
      </c>
      <c r="L109" s="12">
        <f>23.573781*E109*F109</f>
        <v>707.21343</v>
      </c>
      <c r="M109" s="15">
        <f t="shared" si="11"/>
        <v>24874.366980671995</v>
      </c>
    </row>
    <row r="110" spans="2:13" ht="12">
      <c r="B110" s="7">
        <v>103</v>
      </c>
      <c r="C110" s="5" t="s">
        <v>183</v>
      </c>
      <c r="D110" s="5" t="s">
        <v>184</v>
      </c>
      <c r="E110" s="9">
        <v>360</v>
      </c>
      <c r="F110" s="9">
        <v>1</v>
      </c>
      <c r="G110" s="12">
        <f>16.68656*E110*F110</f>
        <v>6007.1616</v>
      </c>
      <c r="H110" s="12">
        <f>476.982*E110*F110</f>
        <v>171713.52000000002</v>
      </c>
      <c r="I110" s="12">
        <f t="shared" si="10"/>
        <v>0</v>
      </c>
      <c r="J110" s="12">
        <f>15.88560512*E110*F110</f>
        <v>5718.8178431999995</v>
      </c>
      <c r="K110" s="12">
        <f>28.0254790816*E110*F110</f>
        <v>10089.172469376</v>
      </c>
      <c r="L110" s="12">
        <f>3.337312*E110*F110</f>
        <v>1201.43232</v>
      </c>
      <c r="M110" s="15">
        <f t="shared" si="11"/>
        <v>194730.104232576</v>
      </c>
    </row>
    <row r="111" spans="2:13" ht="24">
      <c r="B111" s="7">
        <v>104</v>
      </c>
      <c r="C111" s="5" t="s">
        <v>185</v>
      </c>
      <c r="D111" s="5" t="s">
        <v>186</v>
      </c>
      <c r="E111" s="9">
        <v>60</v>
      </c>
      <c r="F111" s="9">
        <v>1</v>
      </c>
      <c r="G111" s="12">
        <f>88.2531045*E111*F111</f>
        <v>5295.18627</v>
      </c>
      <c r="H111" s="12">
        <f>278.8732188*E111*F111</f>
        <v>16732.393128</v>
      </c>
      <c r="I111" s="12">
        <f t="shared" si="10"/>
        <v>0</v>
      </c>
      <c r="J111" s="12">
        <f>84.016955484*E111*F111</f>
        <v>5041.01732904</v>
      </c>
      <c r="K111" s="12">
        <f>24.81288033312*E111*F111</f>
        <v>1488.7728199872</v>
      </c>
      <c r="L111" s="12">
        <f>17.6506209*E111*F111</f>
        <v>1059.037254</v>
      </c>
      <c r="M111" s="15">
        <f t="shared" si="11"/>
        <v>29616.4068010272</v>
      </c>
    </row>
    <row r="112" spans="2:13" ht="24">
      <c r="B112" s="7">
        <v>105</v>
      </c>
      <c r="C112" s="5" t="s">
        <v>187</v>
      </c>
      <c r="D112" s="5" t="s">
        <v>186</v>
      </c>
      <c r="E112" s="9">
        <v>60</v>
      </c>
      <c r="F112" s="9">
        <v>1</v>
      </c>
      <c r="G112" s="12">
        <f>14.05184*E112*F112</f>
        <v>843.1104</v>
      </c>
      <c r="H112" s="12">
        <f>17.6814*E112*F112</f>
        <v>1060.884</v>
      </c>
      <c r="I112" s="12">
        <f t="shared" si="10"/>
        <v>0</v>
      </c>
      <c r="J112" s="12">
        <f>13.37735168*E112*F112</f>
        <v>802.6411008</v>
      </c>
      <c r="K112" s="12">
        <f>2.4810825424*E112*F112</f>
        <v>148.86495254399998</v>
      </c>
      <c r="L112" s="12">
        <f>2.810368*E112*F112</f>
        <v>168.62208</v>
      </c>
      <c r="M112" s="15">
        <f t="shared" si="11"/>
        <v>3024.122533344</v>
      </c>
    </row>
    <row r="113" spans="2:13" ht="12">
      <c r="B113" s="7">
        <v>106</v>
      </c>
      <c r="C113" s="5" t="s">
        <v>188</v>
      </c>
      <c r="D113" s="5" t="s">
        <v>189</v>
      </c>
      <c r="E113" s="9">
        <v>15</v>
      </c>
      <c r="F113" s="9">
        <v>1</v>
      </c>
      <c r="G113" s="12">
        <f>1220.7536*E113*F113</f>
        <v>18311.304</v>
      </c>
      <c r="H113" s="12">
        <f>940.5*E113*F113</f>
        <v>14107.5</v>
      </c>
      <c r="I113" s="12">
        <f t="shared" si="10"/>
        <v>0</v>
      </c>
      <c r="J113" s="12">
        <f>1162.1574272*E113*F113</f>
        <v>17432.361408</v>
      </c>
      <c r="K113" s="12">
        <f>182.787606496*E113*F113</f>
        <v>2741.81409744</v>
      </c>
      <c r="L113" s="12">
        <f>244.15072*E113*F113</f>
        <v>3662.2608</v>
      </c>
      <c r="M113" s="15">
        <f t="shared" si="11"/>
        <v>56255.240305440006</v>
      </c>
    </row>
    <row r="114" spans="2:13" ht="12">
      <c r="B114" s="7">
        <v>107</v>
      </c>
      <c r="C114" s="5" t="s">
        <v>190</v>
      </c>
      <c r="D114" s="5" t="s">
        <v>22</v>
      </c>
      <c r="E114" s="9">
        <v>0.3</v>
      </c>
      <c r="F114" s="9">
        <v>1</v>
      </c>
      <c r="G114" s="12">
        <f>2250.56645*E114*F114</f>
        <v>675.1699349999999</v>
      </c>
      <c r="H114" s="12">
        <f>2801.7*E114*F114</f>
        <v>840.5099999999999</v>
      </c>
      <c r="I114" s="12">
        <f t="shared" si="10"/>
        <v>0</v>
      </c>
      <c r="J114" s="12">
        <f>2142.5392604*E114*F114</f>
        <v>642.7617781199999</v>
      </c>
      <c r="K114" s="12">
        <f>395.714314072*E114*F114</f>
        <v>118.71429422159999</v>
      </c>
      <c r="L114" s="12">
        <f>450.11329*E114*F114</f>
        <v>135.033987</v>
      </c>
      <c r="M114" s="15">
        <f t="shared" si="11"/>
        <v>2412.1899943415997</v>
      </c>
    </row>
    <row r="115" spans="2:13" ht="12">
      <c r="B115" s="7">
        <v>108</v>
      </c>
      <c r="C115" s="5" t="s">
        <v>191</v>
      </c>
      <c r="D115" s="5" t="s">
        <v>192</v>
      </c>
      <c r="E115" s="9">
        <v>3.88</v>
      </c>
      <c r="F115" s="9">
        <v>1</v>
      </c>
      <c r="G115" s="12">
        <f>1933.5525*E115*F115</f>
        <v>7502.1837</v>
      </c>
      <c r="H115" s="12">
        <f>15922.310580731*E115*F115</f>
        <v>61778.56505323628</v>
      </c>
      <c r="I115" s="12">
        <f t="shared" si="10"/>
        <v>0</v>
      </c>
      <c r="J115" s="12">
        <f>1840.74198*E115*F115</f>
        <v>7142.0788824</v>
      </c>
      <c r="K115" s="12">
        <f>1083.3132783402*E115*F115</f>
        <v>4203.255519959976</v>
      </c>
      <c r="L115" s="12">
        <f>386.7105*E115*F115</f>
        <v>1500.43674</v>
      </c>
      <c r="M115" s="15">
        <f t="shared" si="11"/>
        <v>82126.51989559626</v>
      </c>
    </row>
    <row r="116" spans="2:13" ht="24">
      <c r="B116" s="7">
        <v>109</v>
      </c>
      <c r="C116" s="5" t="s">
        <v>193</v>
      </c>
      <c r="D116" s="5" t="s">
        <v>194</v>
      </c>
      <c r="E116" s="9">
        <v>260.799</v>
      </c>
      <c r="F116" s="9">
        <v>2</v>
      </c>
      <c r="G116" s="12">
        <f>34.25136*E116*F116</f>
        <v>17865.440873279997</v>
      </c>
      <c r="H116" s="12">
        <f aca="true" t="shared" si="12" ref="H116:H125">0*E116*F116</f>
        <v>0</v>
      </c>
      <c r="I116" s="12">
        <f t="shared" si="10"/>
        <v>0</v>
      </c>
      <c r="J116" s="12">
        <f>32.60729472*E116*F116</f>
        <v>17007.89971136256</v>
      </c>
      <c r="K116" s="12">
        <f>3.6772260096*E116*F116</f>
        <v>1918.0337321553407</v>
      </c>
      <c r="L116" s="12">
        <f>6.850272*E116*F116</f>
        <v>3573.088174656</v>
      </c>
      <c r="M116" s="15">
        <f t="shared" si="11"/>
        <v>40364.462491453894</v>
      </c>
    </row>
    <row r="117" spans="2:13" ht="24">
      <c r="B117" s="7">
        <v>110</v>
      </c>
      <c r="C117" s="5" t="s">
        <v>195</v>
      </c>
      <c r="D117" s="5" t="s">
        <v>194</v>
      </c>
      <c r="E117" s="9">
        <v>260.799</v>
      </c>
      <c r="F117" s="9">
        <v>2</v>
      </c>
      <c r="G117" s="12">
        <f>273.13264*E117*F117</f>
        <v>142465.43875871997</v>
      </c>
      <c r="H117" s="12">
        <f t="shared" si="12"/>
        <v>0</v>
      </c>
      <c r="I117" s="12">
        <f t="shared" si="10"/>
        <v>0</v>
      </c>
      <c r="J117" s="12">
        <f>260.02227328*E117*F117</f>
        <v>135627.09769830143</v>
      </c>
      <c r="K117" s="12">
        <f>29.3235202304*E117*F117</f>
        <v>15295.089505136179</v>
      </c>
      <c r="L117" s="12">
        <f>54.626528*E117*F117</f>
        <v>28493.087751744</v>
      </c>
      <c r="M117" s="15">
        <f t="shared" si="11"/>
        <v>321880.7137139016</v>
      </c>
    </row>
    <row r="118" spans="2:13" ht="12">
      <c r="B118" s="7">
        <v>111</v>
      </c>
      <c r="C118" s="5" t="s">
        <v>196</v>
      </c>
      <c r="D118" s="5" t="s">
        <v>197</v>
      </c>
      <c r="E118" s="9">
        <v>289.107</v>
      </c>
      <c r="F118" s="9">
        <v>2</v>
      </c>
      <c r="G118" s="12">
        <f>135.697815*E118*F118</f>
        <v>78462.37640241001</v>
      </c>
      <c r="H118" s="12">
        <f t="shared" si="12"/>
        <v>0</v>
      </c>
      <c r="I118" s="12">
        <f t="shared" si="10"/>
        <v>0</v>
      </c>
      <c r="J118" s="12">
        <f>129.18431988*E118*F118</f>
        <v>74696.18233509433</v>
      </c>
      <c r="K118" s="12">
        <f>14.5685174184*E118*F118</f>
        <v>8423.720730562738</v>
      </c>
      <c r="L118" s="12">
        <f>27.139563*E118*F118</f>
        <v>15692.475280482</v>
      </c>
      <c r="M118" s="15">
        <f t="shared" si="11"/>
        <v>177274.7547485491</v>
      </c>
    </row>
    <row r="119" spans="2:13" ht="12">
      <c r="B119" s="7">
        <v>112</v>
      </c>
      <c r="C119" s="5" t="s">
        <v>198</v>
      </c>
      <c r="D119" s="5" t="s">
        <v>197</v>
      </c>
      <c r="E119" s="9">
        <v>289.107</v>
      </c>
      <c r="F119" s="9">
        <v>2</v>
      </c>
      <c r="G119" s="12">
        <f>110.93544*E119*F119</f>
        <v>64144.42450416001</v>
      </c>
      <c r="H119" s="12">
        <f t="shared" si="12"/>
        <v>0</v>
      </c>
      <c r="I119" s="12">
        <f t="shared" si="10"/>
        <v>0</v>
      </c>
      <c r="J119" s="12">
        <f>105.61053888*E119*F119</f>
        <v>61065.49212796032</v>
      </c>
      <c r="K119" s="12">
        <f>11.9100288384*E119*F119</f>
        <v>6886.545414766619</v>
      </c>
      <c r="L119" s="12">
        <f>22.187088*E119*F119</f>
        <v>12828.884900832001</v>
      </c>
      <c r="M119" s="15">
        <f t="shared" si="11"/>
        <v>144925.34694771894</v>
      </c>
    </row>
    <row r="120" spans="2:13" ht="24">
      <c r="B120" s="7">
        <v>113</v>
      </c>
      <c r="C120" s="5" t="s">
        <v>199</v>
      </c>
      <c r="D120" s="5" t="s">
        <v>194</v>
      </c>
      <c r="E120" s="9">
        <v>260.799</v>
      </c>
      <c r="F120" s="9">
        <v>2</v>
      </c>
      <c r="G120" s="12">
        <f>396.198*E120*F120</f>
        <v>206656.08440399996</v>
      </c>
      <c r="H120" s="12">
        <f t="shared" si="12"/>
        <v>0</v>
      </c>
      <c r="I120" s="12">
        <f t="shared" si="10"/>
        <v>0</v>
      </c>
      <c r="J120" s="12">
        <f>377.180496*E120*F120</f>
        <v>196736.592352608</v>
      </c>
      <c r="K120" s="12">
        <f>42.53581728*E120*F120</f>
        <v>22186.59722161344</v>
      </c>
      <c r="L120" s="12">
        <f>79.2396*E120*F120</f>
        <v>41331.21688079999</v>
      </c>
      <c r="M120" s="15">
        <f t="shared" si="11"/>
        <v>466910.4908590214</v>
      </c>
    </row>
    <row r="121" spans="2:13" ht="24">
      <c r="B121" s="7">
        <v>114</v>
      </c>
      <c r="C121" s="5" t="s">
        <v>200</v>
      </c>
      <c r="D121" s="5" t="s">
        <v>194</v>
      </c>
      <c r="E121" s="9">
        <v>260.799</v>
      </c>
      <c r="F121" s="9">
        <v>2</v>
      </c>
      <c r="G121" s="12">
        <f>297.1485*E121*F121</f>
        <v>154992.063303</v>
      </c>
      <c r="H121" s="12">
        <f t="shared" si="12"/>
        <v>0</v>
      </c>
      <c r="I121" s="12">
        <f t="shared" si="10"/>
        <v>0</v>
      </c>
      <c r="J121" s="12">
        <f>282.885372*E121*F121</f>
        <v>147552.444264456</v>
      </c>
      <c r="K121" s="12">
        <f>31.90186296*E121*F121</f>
        <v>16639.94791621008</v>
      </c>
      <c r="L121" s="12">
        <f>59.4297*E121*F121</f>
        <v>30998.412660599995</v>
      </c>
      <c r="M121" s="15">
        <f t="shared" si="11"/>
        <v>350182.8681442661</v>
      </c>
    </row>
    <row r="122" spans="2:13" ht="12">
      <c r="B122" s="7">
        <v>115</v>
      </c>
      <c r="C122" s="5" t="s">
        <v>201</v>
      </c>
      <c r="D122" s="5" t="s">
        <v>202</v>
      </c>
      <c r="E122" s="9">
        <v>32.123</v>
      </c>
      <c r="F122" s="9">
        <v>2</v>
      </c>
      <c r="G122" s="12">
        <f>277.3386*E122*F122</f>
        <v>17817.895695599997</v>
      </c>
      <c r="H122" s="12">
        <f t="shared" si="12"/>
        <v>0</v>
      </c>
      <c r="I122" s="12">
        <f t="shared" si="10"/>
        <v>0</v>
      </c>
      <c r="J122" s="12">
        <f>264.0263472*E122*F122</f>
        <v>16962.636702211195</v>
      </c>
      <c r="K122" s="12">
        <f>29.775072096*E122*F122</f>
        <v>1912.9292818796157</v>
      </c>
      <c r="L122" s="12">
        <f>55.46772*E122*F122</f>
        <v>3563.5791391199996</v>
      </c>
      <c r="M122" s="15">
        <f t="shared" si="11"/>
        <v>40257.040818810805</v>
      </c>
    </row>
    <row r="123" spans="2:13" ht="24">
      <c r="B123" s="7">
        <v>116</v>
      </c>
      <c r="C123" s="5" t="s">
        <v>203</v>
      </c>
      <c r="D123" s="5" t="s">
        <v>204</v>
      </c>
      <c r="E123" s="9">
        <v>29.1</v>
      </c>
      <c r="F123" s="9">
        <v>2</v>
      </c>
      <c r="G123" s="12">
        <f>443.74176*E123*F123</f>
        <v>25825.770432</v>
      </c>
      <c r="H123" s="12">
        <f t="shared" si="12"/>
        <v>0</v>
      </c>
      <c r="I123" s="12">
        <f t="shared" si="10"/>
        <v>0</v>
      </c>
      <c r="J123" s="12">
        <f>422.44215552*E123*F123</f>
        <v>24586.133451264</v>
      </c>
      <c r="K123" s="12">
        <f>47.6401153536*E123*F123</f>
        <v>2772.6547135795204</v>
      </c>
      <c r="L123" s="12">
        <f>88.748352*E123*F123</f>
        <v>5165.1540864</v>
      </c>
      <c r="M123" s="15">
        <f t="shared" si="11"/>
        <v>58349.71268324352</v>
      </c>
    </row>
    <row r="124" spans="2:13" ht="24">
      <c r="B124" s="7">
        <v>117</v>
      </c>
      <c r="C124" s="5" t="s">
        <v>205</v>
      </c>
      <c r="D124" s="5" t="s">
        <v>206</v>
      </c>
      <c r="E124" s="9">
        <v>37.89</v>
      </c>
      <c r="F124" s="9">
        <v>2</v>
      </c>
      <c r="G124" s="12">
        <f>5942.97*E124*F124</f>
        <v>450358.26660000003</v>
      </c>
      <c r="H124" s="12">
        <f t="shared" si="12"/>
        <v>0</v>
      </c>
      <c r="I124" s="12">
        <f t="shared" si="10"/>
        <v>0</v>
      </c>
      <c r="J124" s="12">
        <f>5657.70744*E124*F124</f>
        <v>428741.0698032</v>
      </c>
      <c r="K124" s="12">
        <f>638.0372592*E124*F124</f>
        <v>48350.463502176</v>
      </c>
      <c r="L124" s="12">
        <f>1188.594*E124*F124</f>
        <v>90071.65332000001</v>
      </c>
      <c r="M124" s="15">
        <f t="shared" si="11"/>
        <v>1017521.4532253761</v>
      </c>
    </row>
    <row r="125" spans="2:13" ht="12">
      <c r="B125" s="7">
        <v>118</v>
      </c>
      <c r="C125" s="5" t="s">
        <v>207</v>
      </c>
      <c r="D125" s="5" t="s">
        <v>208</v>
      </c>
      <c r="E125" s="9">
        <v>8971.95</v>
      </c>
      <c r="F125" s="9">
        <v>1</v>
      </c>
      <c r="G125" s="12">
        <f>86.173065*E125*F125</f>
        <v>773140.43052675</v>
      </c>
      <c r="H125" s="12">
        <f t="shared" si="12"/>
        <v>0</v>
      </c>
      <c r="I125" s="12">
        <f t="shared" si="10"/>
        <v>0</v>
      </c>
      <c r="J125" s="12">
        <f>82.03675788*E125*F125</f>
        <v>736029.6898614661</v>
      </c>
      <c r="K125" s="12">
        <f>9.2515402584*E125*F125</f>
        <v>83004.3566213519</v>
      </c>
      <c r="L125" s="12">
        <f>17.234613*E125*F125</f>
        <v>154628.08610535</v>
      </c>
      <c r="M125" s="15">
        <f t="shared" si="11"/>
        <v>1746802.5631149178</v>
      </c>
    </row>
    <row r="126" spans="2:13" ht="36">
      <c r="B126" s="7">
        <v>119</v>
      </c>
      <c r="C126" s="5" t="s">
        <v>209</v>
      </c>
      <c r="D126" s="5" t="s">
        <v>210</v>
      </c>
      <c r="E126" s="9">
        <v>12</v>
      </c>
      <c r="F126" s="9">
        <v>1</v>
      </c>
      <c r="G126" s="12">
        <f>3110.4975*E126*F126</f>
        <v>37325.97</v>
      </c>
      <c r="H126" s="12">
        <f>423.1478295*E126*F126</f>
        <v>5077.773954</v>
      </c>
      <c r="I126" s="12">
        <f t="shared" si="10"/>
        <v>0</v>
      </c>
      <c r="J126" s="12">
        <f>2961.19362*E126*F126</f>
        <v>35534.32344</v>
      </c>
      <c r="K126" s="12">
        <f>357.2161422225*E126*F126</f>
        <v>4286.593706670001</v>
      </c>
      <c r="L126" s="12">
        <f>622.0995*E126*F126</f>
        <v>7465.194</v>
      </c>
      <c r="M126" s="15">
        <f t="shared" si="11"/>
        <v>89689.85510067001</v>
      </c>
    </row>
    <row r="127" spans="2:13" ht="24">
      <c r="B127" s="7">
        <v>120</v>
      </c>
      <c r="C127" s="5" t="s">
        <v>211</v>
      </c>
      <c r="D127" s="5" t="s">
        <v>212</v>
      </c>
      <c r="E127" s="9">
        <v>8.73</v>
      </c>
      <c r="F127" s="9">
        <v>2</v>
      </c>
      <c r="G127" s="12">
        <f>891.4455*E127*F127</f>
        <v>15564.63843</v>
      </c>
      <c r="H127" s="12">
        <f>0*E127*F127</f>
        <v>0</v>
      </c>
      <c r="I127" s="12">
        <f aca="true" t="shared" si="13" ref="I127:I154">0*E127*F127</f>
        <v>0</v>
      </c>
      <c r="J127" s="12">
        <f>848.656116*E127*F127</f>
        <v>14817.53578536</v>
      </c>
      <c r="K127" s="12">
        <f>95.70558888*E127*F127</f>
        <v>1671.0195818447999</v>
      </c>
      <c r="L127" s="12">
        <f>178.2891*E127*F127</f>
        <v>3112.927686</v>
      </c>
      <c r="M127" s="15">
        <f aca="true" t="shared" si="14" ref="M127:M154">SUM(G127:L127)</f>
        <v>35166.1214832048</v>
      </c>
    </row>
    <row r="128" spans="2:13" ht="12">
      <c r="B128" s="7">
        <v>121</v>
      </c>
      <c r="C128" s="5" t="s">
        <v>213</v>
      </c>
      <c r="D128" s="5" t="s">
        <v>64</v>
      </c>
      <c r="E128" s="9">
        <v>29.1</v>
      </c>
      <c r="F128" s="9">
        <v>2</v>
      </c>
      <c r="G128" s="12">
        <f>439.12*E128*F128</f>
        <v>25556.784000000003</v>
      </c>
      <c r="H128" s="12">
        <f>297.80982*E128*F128</f>
        <v>17332.531524</v>
      </c>
      <c r="I128" s="12">
        <f t="shared" si="13"/>
        <v>0</v>
      </c>
      <c r="J128" s="12">
        <f>418.04224*E128*F128</f>
        <v>24330.058368</v>
      </c>
      <c r="K128" s="12">
        <f>63.5234633*E128*F128</f>
        <v>3697.0655640600003</v>
      </c>
      <c r="L128" s="12">
        <f>87.824*E128*F128</f>
        <v>5111.3568000000005</v>
      </c>
      <c r="M128" s="15">
        <f t="shared" si="14"/>
        <v>76027.79625606</v>
      </c>
    </row>
    <row r="129" spans="2:13" ht="12">
      <c r="B129" s="7">
        <v>122</v>
      </c>
      <c r="C129" s="5" t="s">
        <v>214</v>
      </c>
      <c r="D129" s="5" t="s">
        <v>64</v>
      </c>
      <c r="E129" s="9">
        <v>29.1</v>
      </c>
      <c r="F129" s="9">
        <v>2</v>
      </c>
      <c r="G129" s="12">
        <f>175.648*E129*F129</f>
        <v>10222.713600000001</v>
      </c>
      <c r="H129" s="12">
        <f aca="true" t="shared" si="15" ref="H129:H150">0*E129*F129</f>
        <v>0</v>
      </c>
      <c r="I129" s="12">
        <f t="shared" si="13"/>
        <v>0</v>
      </c>
      <c r="J129" s="12">
        <f>167.216896*E129*F129</f>
        <v>9732.0233472</v>
      </c>
      <c r="K129" s="12">
        <f>18.85756928*E129*F129</f>
        <v>1097.5105320960001</v>
      </c>
      <c r="L129" s="12">
        <f>35.1296*E129*F129</f>
        <v>2044.5427200000004</v>
      </c>
      <c r="M129" s="15">
        <f t="shared" si="14"/>
        <v>23096.790199296</v>
      </c>
    </row>
    <row r="130" spans="2:13" ht="12">
      <c r="B130" s="7">
        <v>123</v>
      </c>
      <c r="C130" s="5" t="s">
        <v>215</v>
      </c>
      <c r="D130" s="5" t="s">
        <v>216</v>
      </c>
      <c r="E130" s="9">
        <v>97</v>
      </c>
      <c r="F130" s="9">
        <v>2</v>
      </c>
      <c r="G130" s="12">
        <f>25.092539669835*E130*F130</f>
        <v>4867.95269594799</v>
      </c>
      <c r="H130" s="12">
        <f t="shared" si="15"/>
        <v>0</v>
      </c>
      <c r="I130" s="12">
        <f t="shared" si="13"/>
        <v>0</v>
      </c>
      <c r="J130" s="12">
        <f>23.888097765683*E130*F130</f>
        <v>4634.290966542502</v>
      </c>
      <c r="K130" s="12">
        <f>2.6939350589535*E130*F130</f>
        <v>522.6234014369791</v>
      </c>
      <c r="L130" s="12">
        <f>5.018507933967*E130*F130</f>
        <v>973.5905391895981</v>
      </c>
      <c r="M130" s="15">
        <f t="shared" si="14"/>
        <v>10998.457603117067</v>
      </c>
    </row>
    <row r="131" spans="2:13" ht="24">
      <c r="B131" s="7">
        <v>124</v>
      </c>
      <c r="C131" s="5" t="s">
        <v>217</v>
      </c>
      <c r="D131" s="5" t="s">
        <v>218</v>
      </c>
      <c r="E131" s="9">
        <v>217.425</v>
      </c>
      <c r="F131" s="9">
        <v>2</v>
      </c>
      <c r="G131" s="12">
        <f>990.495*E131*F131</f>
        <v>430716.75075</v>
      </c>
      <c r="H131" s="12">
        <f t="shared" si="15"/>
        <v>0</v>
      </c>
      <c r="I131" s="12">
        <f t="shared" si="13"/>
        <v>0</v>
      </c>
      <c r="J131" s="12">
        <f>942.95124*E131*F131</f>
        <v>410042.34671400004</v>
      </c>
      <c r="K131" s="12">
        <f>106.3395432*E131*F131</f>
        <v>46241.750360519996</v>
      </c>
      <c r="L131" s="12">
        <f>198.099*E131*F131</f>
        <v>86143.35015</v>
      </c>
      <c r="M131" s="15">
        <f t="shared" si="14"/>
        <v>973144.19797452</v>
      </c>
    </row>
    <row r="132" spans="2:13" ht="36">
      <c r="B132" s="7">
        <v>125</v>
      </c>
      <c r="C132" s="5" t="s">
        <v>219</v>
      </c>
      <c r="D132" s="5" t="s">
        <v>220</v>
      </c>
      <c r="E132" s="9">
        <v>60.493</v>
      </c>
      <c r="F132" s="9">
        <v>2</v>
      </c>
      <c r="G132" s="12">
        <f>396.198*E132*F132</f>
        <v>47934.411228</v>
      </c>
      <c r="H132" s="12">
        <f t="shared" si="15"/>
        <v>0</v>
      </c>
      <c r="I132" s="12">
        <f t="shared" si="13"/>
        <v>0</v>
      </c>
      <c r="J132" s="12">
        <f>377.180496*E132*F132</f>
        <v>45633.559489056</v>
      </c>
      <c r="K132" s="12">
        <f>42.53581728*E132*F132</f>
        <v>5146.238389438081</v>
      </c>
      <c r="L132" s="12">
        <f>79.2396*E132*F132</f>
        <v>9586.8822456</v>
      </c>
      <c r="M132" s="15">
        <f t="shared" si="14"/>
        <v>108301.09135209408</v>
      </c>
    </row>
    <row r="133" spans="2:13" ht="12">
      <c r="B133" s="7">
        <v>126</v>
      </c>
      <c r="C133" s="5" t="s">
        <v>221</v>
      </c>
      <c r="D133" s="5" t="s">
        <v>222</v>
      </c>
      <c r="E133" s="9">
        <v>30</v>
      </c>
      <c r="F133" s="9">
        <v>2</v>
      </c>
      <c r="G133" s="12">
        <f>351.296*E133*F133</f>
        <v>21077.76</v>
      </c>
      <c r="H133" s="12">
        <f t="shared" si="15"/>
        <v>0</v>
      </c>
      <c r="I133" s="12">
        <f t="shared" si="13"/>
        <v>0</v>
      </c>
      <c r="J133" s="12">
        <f>334.433792*E133*F133</f>
        <v>20066.02752</v>
      </c>
      <c r="K133" s="12">
        <f>37.71513856*E133*F133</f>
        <v>2262.9083136</v>
      </c>
      <c r="L133" s="12">
        <f>70.2592*E133*F133</f>
        <v>4215.552000000001</v>
      </c>
      <c r="M133" s="15">
        <f t="shared" si="14"/>
        <v>47622.2478336</v>
      </c>
    </row>
    <row r="134" spans="2:13" ht="24">
      <c r="B134" s="7">
        <v>127</v>
      </c>
      <c r="C134" s="5" t="s">
        <v>223</v>
      </c>
      <c r="D134" s="5" t="s">
        <v>224</v>
      </c>
      <c r="E134" s="9">
        <v>8.73</v>
      </c>
      <c r="F134" s="9">
        <v>1</v>
      </c>
      <c r="G134" s="12">
        <f>10.53888*E134*F134</f>
        <v>92.00442240000001</v>
      </c>
      <c r="H134" s="12">
        <f t="shared" si="15"/>
        <v>0</v>
      </c>
      <c r="I134" s="12">
        <f t="shared" si="13"/>
        <v>0</v>
      </c>
      <c r="J134" s="12">
        <f>10.03301376*E134*F134</f>
        <v>87.5882101248</v>
      </c>
      <c r="K134" s="12">
        <f>1.1314541568*E134*F134</f>
        <v>9.877594788864</v>
      </c>
      <c r="L134" s="12">
        <f>2.107776*E134*F134</f>
        <v>18.40088448</v>
      </c>
      <c r="M134" s="15">
        <f t="shared" si="14"/>
        <v>207.87111179366403</v>
      </c>
    </row>
    <row r="135" spans="2:13" ht="24">
      <c r="B135" s="7">
        <v>128</v>
      </c>
      <c r="C135" s="5" t="s">
        <v>225</v>
      </c>
      <c r="D135" s="5" t="s">
        <v>226</v>
      </c>
      <c r="E135" s="9">
        <v>897.195</v>
      </c>
      <c r="F135" s="9">
        <v>1</v>
      </c>
      <c r="G135" s="12">
        <f>81.2899725*E135*F135</f>
        <v>72932.9568771375</v>
      </c>
      <c r="H135" s="12">
        <f t="shared" si="15"/>
        <v>0</v>
      </c>
      <c r="I135" s="12">
        <f t="shared" si="13"/>
        <v>0</v>
      </c>
      <c r="J135" s="12">
        <f>77.38805382*E135*F135</f>
        <v>69432.1749470349</v>
      </c>
      <c r="K135" s="12">
        <f>8.7272914476*E135*F135</f>
        <v>7830.082250329483</v>
      </c>
      <c r="L135" s="12">
        <f>16.2579945*E135*F135</f>
        <v>14586.591375427499</v>
      </c>
      <c r="M135" s="15">
        <f t="shared" si="14"/>
        <v>164781.80544992938</v>
      </c>
    </row>
    <row r="136" spans="2:13" ht="24">
      <c r="B136" s="7">
        <v>129</v>
      </c>
      <c r="C136" s="5" t="s">
        <v>227</v>
      </c>
      <c r="D136" s="5" t="s">
        <v>228</v>
      </c>
      <c r="E136" s="9">
        <v>13.58</v>
      </c>
      <c r="F136" s="9">
        <v>2</v>
      </c>
      <c r="G136" s="12">
        <f>4918.144*E136*F136</f>
        <v>133576.79104</v>
      </c>
      <c r="H136" s="12">
        <f t="shared" si="15"/>
        <v>0</v>
      </c>
      <c r="I136" s="12">
        <f t="shared" si="13"/>
        <v>0</v>
      </c>
      <c r="J136" s="12">
        <f>4682.073088*E136*F136</f>
        <v>127165.10507008</v>
      </c>
      <c r="K136" s="12">
        <f>528.01193984*E136*F136</f>
        <v>14340.8042860544</v>
      </c>
      <c r="L136" s="12">
        <f>983.6288*E136*F136</f>
        <v>26715.358207999998</v>
      </c>
      <c r="M136" s="15">
        <f t="shared" si="14"/>
        <v>301798.0586041344</v>
      </c>
    </row>
    <row r="137" spans="2:13" ht="24">
      <c r="B137" s="7">
        <v>130</v>
      </c>
      <c r="C137" s="5" t="s">
        <v>229</v>
      </c>
      <c r="D137" s="5" t="s">
        <v>230</v>
      </c>
      <c r="E137" s="9">
        <v>45</v>
      </c>
      <c r="F137" s="9">
        <v>12</v>
      </c>
      <c r="G137" s="12">
        <f>12.2*E137*F137</f>
        <v>6588</v>
      </c>
      <c r="H137" s="12">
        <f t="shared" si="15"/>
        <v>0</v>
      </c>
      <c r="I137" s="12">
        <f t="shared" si="13"/>
        <v>0</v>
      </c>
      <c r="J137" s="12">
        <f>11.6144*E137*F137</f>
        <v>6271.776</v>
      </c>
      <c r="K137" s="12">
        <f>1.309792*E137*F137</f>
        <v>707.28768</v>
      </c>
      <c r="L137" s="12">
        <f>2.44*E137*F137</f>
        <v>1317.6</v>
      </c>
      <c r="M137" s="15">
        <f t="shared" si="14"/>
        <v>14884.66368</v>
      </c>
    </row>
    <row r="138" spans="2:13" ht="12">
      <c r="B138" s="7">
        <v>131</v>
      </c>
      <c r="C138" s="5" t="s">
        <v>231</v>
      </c>
      <c r="D138" s="5" t="s">
        <v>230</v>
      </c>
      <c r="E138" s="9">
        <v>45</v>
      </c>
      <c r="F138" s="9">
        <v>12</v>
      </c>
      <c r="G138" s="12">
        <f>12.2*E138*F138</f>
        <v>6588</v>
      </c>
      <c r="H138" s="12">
        <f t="shared" si="15"/>
        <v>0</v>
      </c>
      <c r="I138" s="12">
        <f t="shared" si="13"/>
        <v>0</v>
      </c>
      <c r="J138" s="12">
        <f>11.6144*E138*F138</f>
        <v>6271.776</v>
      </c>
      <c r="K138" s="12">
        <f>1.309792*E138*F138</f>
        <v>707.28768</v>
      </c>
      <c r="L138" s="12">
        <f>2.44*E138*F138</f>
        <v>1317.6</v>
      </c>
      <c r="M138" s="15">
        <f t="shared" si="14"/>
        <v>14884.66368</v>
      </c>
    </row>
    <row r="139" spans="2:13" ht="24">
      <c r="B139" s="7">
        <v>132</v>
      </c>
      <c r="C139" s="5" t="s">
        <v>232</v>
      </c>
      <c r="D139" s="5" t="s">
        <v>230</v>
      </c>
      <c r="E139" s="9">
        <v>45</v>
      </c>
      <c r="F139" s="9">
        <v>12</v>
      </c>
      <c r="G139" s="12">
        <f>36.6*E139*F139</f>
        <v>19764</v>
      </c>
      <c r="H139" s="12">
        <f t="shared" si="15"/>
        <v>0</v>
      </c>
      <c r="I139" s="12">
        <f t="shared" si="13"/>
        <v>0</v>
      </c>
      <c r="J139" s="12">
        <f>34.8432*E139*F139</f>
        <v>18815.328</v>
      </c>
      <c r="K139" s="12">
        <f>3.929376*E139*F139</f>
        <v>2121.86304</v>
      </c>
      <c r="L139" s="12">
        <f>7.32*E139*F139</f>
        <v>3952.8</v>
      </c>
      <c r="M139" s="15">
        <f t="shared" si="14"/>
        <v>44653.99104000001</v>
      </c>
    </row>
    <row r="140" spans="2:13" ht="24">
      <c r="B140" s="7">
        <v>133</v>
      </c>
      <c r="C140" s="5" t="s">
        <v>233</v>
      </c>
      <c r="D140" s="5" t="s">
        <v>234</v>
      </c>
      <c r="E140" s="9">
        <v>45</v>
      </c>
      <c r="F140" s="9">
        <v>12</v>
      </c>
      <c r="G140" s="12">
        <f>64.66*E140*F140</f>
        <v>34916.399999999994</v>
      </c>
      <c r="H140" s="12">
        <f t="shared" si="15"/>
        <v>0</v>
      </c>
      <c r="I140" s="12">
        <f t="shared" si="13"/>
        <v>0</v>
      </c>
      <c r="J140" s="12">
        <f>61.55632*E140*F140</f>
        <v>33240.4128</v>
      </c>
      <c r="K140" s="12">
        <f>6.9418976*E140*F140</f>
        <v>3748.624704</v>
      </c>
      <c r="L140" s="12">
        <f>12.932*E140*F140</f>
        <v>6983.280000000001</v>
      </c>
      <c r="M140" s="15">
        <f t="shared" si="14"/>
        <v>78888.71750399999</v>
      </c>
    </row>
    <row r="141" spans="2:13" ht="24">
      <c r="B141" s="7">
        <v>134</v>
      </c>
      <c r="C141" s="5" t="s">
        <v>235</v>
      </c>
      <c r="D141" s="5" t="s">
        <v>230</v>
      </c>
      <c r="E141" s="9">
        <v>65</v>
      </c>
      <c r="F141" s="9">
        <v>12</v>
      </c>
      <c r="G141" s="12">
        <f>19.52*E141*F141</f>
        <v>15225.599999999999</v>
      </c>
      <c r="H141" s="12">
        <f t="shared" si="15"/>
        <v>0</v>
      </c>
      <c r="I141" s="12">
        <f t="shared" si="13"/>
        <v>0</v>
      </c>
      <c r="J141" s="12">
        <f>18.58304*E141*F141</f>
        <v>14494.7712</v>
      </c>
      <c r="K141" s="12">
        <f>2.0956672*E141*F141</f>
        <v>1634.620416</v>
      </c>
      <c r="L141" s="12">
        <f>3.904*E141*F141</f>
        <v>3045.12</v>
      </c>
      <c r="M141" s="15">
        <f t="shared" si="14"/>
        <v>34400.111616</v>
      </c>
    </row>
    <row r="142" spans="2:13" ht="12">
      <c r="B142" s="7">
        <v>135</v>
      </c>
      <c r="C142" s="5" t="s">
        <v>231</v>
      </c>
      <c r="D142" s="5" t="s">
        <v>230</v>
      </c>
      <c r="E142" s="9">
        <v>65</v>
      </c>
      <c r="F142" s="9">
        <v>12</v>
      </c>
      <c r="G142" s="12">
        <f>12.2*E142*F142</f>
        <v>9516</v>
      </c>
      <c r="H142" s="12">
        <f t="shared" si="15"/>
        <v>0</v>
      </c>
      <c r="I142" s="12">
        <f t="shared" si="13"/>
        <v>0</v>
      </c>
      <c r="J142" s="12">
        <f>11.6144*E142*F142</f>
        <v>9059.232</v>
      </c>
      <c r="K142" s="12">
        <f>1.309792*E142*F142</f>
        <v>1021.6377600000001</v>
      </c>
      <c r="L142" s="12">
        <f>2.44*E142*F142</f>
        <v>1903.1999999999998</v>
      </c>
      <c r="M142" s="15">
        <f t="shared" si="14"/>
        <v>21500.069760000002</v>
      </c>
    </row>
    <row r="143" spans="2:13" ht="24">
      <c r="B143" s="7">
        <v>136</v>
      </c>
      <c r="C143" s="5" t="s">
        <v>236</v>
      </c>
      <c r="D143" s="5" t="s">
        <v>230</v>
      </c>
      <c r="E143" s="9">
        <v>65</v>
      </c>
      <c r="F143" s="9">
        <v>12</v>
      </c>
      <c r="G143" s="12">
        <f>36.6*E143*F143</f>
        <v>28548</v>
      </c>
      <c r="H143" s="12">
        <f t="shared" si="15"/>
        <v>0</v>
      </c>
      <c r="I143" s="12">
        <f t="shared" si="13"/>
        <v>0</v>
      </c>
      <c r="J143" s="12">
        <f>34.8432*E143*F143</f>
        <v>27177.696</v>
      </c>
      <c r="K143" s="12">
        <f>3.929376*E143*F143</f>
        <v>3064.9132799999998</v>
      </c>
      <c r="L143" s="12">
        <f>7.32*E143*F143</f>
        <v>5709.6</v>
      </c>
      <c r="M143" s="15">
        <f t="shared" si="14"/>
        <v>64500.209279999995</v>
      </c>
    </row>
    <row r="144" spans="2:13" ht="24">
      <c r="B144" s="7">
        <v>137</v>
      </c>
      <c r="C144" s="5" t="s">
        <v>233</v>
      </c>
      <c r="D144" s="5" t="s">
        <v>234</v>
      </c>
      <c r="E144" s="9">
        <v>65</v>
      </c>
      <c r="F144" s="9">
        <v>12</v>
      </c>
      <c r="G144" s="12">
        <f>104.92*E144*F144</f>
        <v>81837.6</v>
      </c>
      <c r="H144" s="12">
        <f t="shared" si="15"/>
        <v>0</v>
      </c>
      <c r="I144" s="12">
        <f t="shared" si="13"/>
        <v>0</v>
      </c>
      <c r="J144" s="12">
        <f>99.88384*E144*F144</f>
        <v>77909.39520000001</v>
      </c>
      <c r="K144" s="12">
        <f>11.2642112*E144*F144</f>
        <v>8786.084736</v>
      </c>
      <c r="L144" s="12">
        <f>20.984*E144*F144</f>
        <v>16367.52</v>
      </c>
      <c r="M144" s="15">
        <f t="shared" si="14"/>
        <v>184900.59993599998</v>
      </c>
    </row>
    <row r="145" spans="2:13" ht="24">
      <c r="B145" s="7">
        <v>138</v>
      </c>
      <c r="C145" s="5" t="s">
        <v>237</v>
      </c>
      <c r="D145" s="5" t="s">
        <v>238</v>
      </c>
      <c r="E145" s="9">
        <v>120</v>
      </c>
      <c r="F145" s="9">
        <v>12</v>
      </c>
      <c r="G145" s="12">
        <f>12.2*E145*F145</f>
        <v>17568</v>
      </c>
      <c r="H145" s="12">
        <f t="shared" si="15"/>
        <v>0</v>
      </c>
      <c r="I145" s="12">
        <f t="shared" si="13"/>
        <v>0</v>
      </c>
      <c r="J145" s="12">
        <f>11.6144*E145*F145</f>
        <v>16724.736</v>
      </c>
      <c r="K145" s="12">
        <f>1.309792*E145*F145</f>
        <v>1886.10048</v>
      </c>
      <c r="L145" s="12">
        <f>2.44*E145*F145</f>
        <v>3513.6000000000004</v>
      </c>
      <c r="M145" s="15">
        <f t="shared" si="14"/>
        <v>39692.436480000004</v>
      </c>
    </row>
    <row r="146" spans="2:13" ht="12">
      <c r="B146" s="7">
        <v>139</v>
      </c>
      <c r="C146" s="5" t="s">
        <v>231</v>
      </c>
      <c r="D146" s="5" t="s">
        <v>238</v>
      </c>
      <c r="E146" s="9">
        <v>120</v>
      </c>
      <c r="F146" s="9">
        <v>12</v>
      </c>
      <c r="G146" s="12">
        <f>12.2*E146*F146</f>
        <v>17568</v>
      </c>
      <c r="H146" s="12">
        <f t="shared" si="15"/>
        <v>0</v>
      </c>
      <c r="I146" s="12">
        <f t="shared" si="13"/>
        <v>0</v>
      </c>
      <c r="J146" s="12">
        <f>11.6144*E146*F146</f>
        <v>16724.736</v>
      </c>
      <c r="K146" s="12">
        <f>1.309792*E146*F146</f>
        <v>1886.10048</v>
      </c>
      <c r="L146" s="12">
        <f>2.44*E146*F146</f>
        <v>3513.6000000000004</v>
      </c>
      <c r="M146" s="15">
        <f t="shared" si="14"/>
        <v>39692.436480000004</v>
      </c>
    </row>
    <row r="147" spans="2:13" ht="24">
      <c r="B147" s="7">
        <v>140</v>
      </c>
      <c r="C147" s="5" t="s">
        <v>236</v>
      </c>
      <c r="D147" s="5" t="s">
        <v>238</v>
      </c>
      <c r="E147" s="9">
        <v>120</v>
      </c>
      <c r="F147" s="9">
        <v>12</v>
      </c>
      <c r="G147" s="12">
        <f>36.6*E147*F147</f>
        <v>52704</v>
      </c>
      <c r="H147" s="12">
        <f t="shared" si="15"/>
        <v>0</v>
      </c>
      <c r="I147" s="12">
        <f t="shared" si="13"/>
        <v>0</v>
      </c>
      <c r="J147" s="12">
        <f>34.8432*E147*F147</f>
        <v>50174.208</v>
      </c>
      <c r="K147" s="12">
        <f>3.929376*E147*F147</f>
        <v>5658.30144</v>
      </c>
      <c r="L147" s="12">
        <f>7.32*E147*F147</f>
        <v>10540.800000000001</v>
      </c>
      <c r="M147" s="15">
        <f t="shared" si="14"/>
        <v>119077.30944</v>
      </c>
    </row>
    <row r="148" spans="2:13" ht="24">
      <c r="B148" s="7">
        <v>141</v>
      </c>
      <c r="C148" s="5" t="s">
        <v>239</v>
      </c>
      <c r="D148" s="5" t="s">
        <v>234</v>
      </c>
      <c r="E148" s="9">
        <v>120</v>
      </c>
      <c r="F148" s="9">
        <v>12</v>
      </c>
      <c r="G148" s="12">
        <f>64.66*E148*F148</f>
        <v>93110.4</v>
      </c>
      <c r="H148" s="12">
        <f t="shared" si="15"/>
        <v>0</v>
      </c>
      <c r="I148" s="12">
        <f t="shared" si="13"/>
        <v>0</v>
      </c>
      <c r="J148" s="12">
        <f>61.55632*E148*F148</f>
        <v>88641.1008</v>
      </c>
      <c r="K148" s="12">
        <f>6.9418976*E148*F148</f>
        <v>9996.332543999999</v>
      </c>
      <c r="L148" s="12">
        <f>12.932*E148*F148</f>
        <v>18622.08</v>
      </c>
      <c r="M148" s="15">
        <f t="shared" si="14"/>
        <v>210369.913344</v>
      </c>
    </row>
    <row r="149" spans="2:13" ht="24">
      <c r="B149" s="7">
        <v>142</v>
      </c>
      <c r="C149" s="5" t="s">
        <v>240</v>
      </c>
      <c r="D149" s="5" t="s">
        <v>84</v>
      </c>
      <c r="E149" s="9">
        <v>30</v>
      </c>
      <c r="F149" s="9">
        <v>1</v>
      </c>
      <c r="G149" s="12">
        <f>363.56*E149*F149</f>
        <v>10906.8</v>
      </c>
      <c r="H149" s="12">
        <f t="shared" si="15"/>
        <v>0</v>
      </c>
      <c r="I149" s="12">
        <f t="shared" si="13"/>
        <v>0</v>
      </c>
      <c r="J149" s="12">
        <f>346.10912*E149*F149</f>
        <v>10383.2736</v>
      </c>
      <c r="K149" s="12">
        <f>39.0318016*E149*F149</f>
        <v>1170.954048</v>
      </c>
      <c r="L149" s="12">
        <f>72.712*E149*F149</f>
        <v>2181.36</v>
      </c>
      <c r="M149" s="15">
        <f t="shared" si="14"/>
        <v>24642.387648</v>
      </c>
    </row>
    <row r="150" spans="2:13" ht="24">
      <c r="B150" s="7">
        <v>143</v>
      </c>
      <c r="C150" s="5" t="s">
        <v>241</v>
      </c>
      <c r="D150" s="5" t="s">
        <v>84</v>
      </c>
      <c r="E150" s="9">
        <v>30</v>
      </c>
      <c r="F150" s="9">
        <v>1</v>
      </c>
      <c r="G150" s="12">
        <f>775.92*E150*F150</f>
        <v>23277.6</v>
      </c>
      <c r="H150" s="12">
        <f t="shared" si="15"/>
        <v>0</v>
      </c>
      <c r="I150" s="12">
        <f t="shared" si="13"/>
        <v>0</v>
      </c>
      <c r="J150" s="12">
        <f>738.67584*E150*F150</f>
        <v>22160.2752</v>
      </c>
      <c r="K150" s="12">
        <f>83.3027712*E150*F150</f>
        <v>2499.0831359999997</v>
      </c>
      <c r="L150" s="12">
        <f>155.184*E150*F150</f>
        <v>4655.5199999999995</v>
      </c>
      <c r="M150" s="15">
        <f t="shared" si="14"/>
        <v>52592.47833599999</v>
      </c>
    </row>
    <row r="151" spans="2:13" ht="36">
      <c r="B151" s="7">
        <v>144</v>
      </c>
      <c r="C151" s="5" t="s">
        <v>242</v>
      </c>
      <c r="D151" s="5" t="s">
        <v>150</v>
      </c>
      <c r="E151" s="9">
        <v>0.175</v>
      </c>
      <c r="F151" s="9">
        <v>1</v>
      </c>
      <c r="G151" s="12">
        <f>3698.97*E151*F151</f>
        <v>647.3197499999999</v>
      </c>
      <c r="H151" s="12">
        <f>829.59594127661*E151*F151</f>
        <v>145.17928972340675</v>
      </c>
      <c r="I151" s="12">
        <f t="shared" si="13"/>
        <v>0</v>
      </c>
      <c r="J151" s="12">
        <f>3521.41944*E151*F151</f>
        <v>616.2484019999999</v>
      </c>
      <c r="K151" s="12">
        <f>442.74919597021*E151*F151</f>
        <v>77.48110929478675</v>
      </c>
      <c r="L151" s="12">
        <f>739.794*E151*F151</f>
        <v>129.46394999999998</v>
      </c>
      <c r="M151" s="15">
        <f t="shared" si="14"/>
        <v>1615.6925010181935</v>
      </c>
    </row>
    <row r="152" spans="2:13" ht="12">
      <c r="B152" s="7">
        <v>145</v>
      </c>
      <c r="C152" s="5" t="s">
        <v>243</v>
      </c>
      <c r="D152" s="5" t="s">
        <v>244</v>
      </c>
      <c r="E152" s="9">
        <v>97</v>
      </c>
      <c r="F152" s="9">
        <v>1</v>
      </c>
      <c r="G152" s="12">
        <f>19.6418376*E152*F152</f>
        <v>1905.2582472</v>
      </c>
      <c r="H152" s="12">
        <f>136.0557*E152*F152</f>
        <v>13197.402900000001</v>
      </c>
      <c r="I152" s="12">
        <f t="shared" si="13"/>
        <v>0</v>
      </c>
      <c r="J152" s="12">
        <f>18.6990293952*E152*F152</f>
        <v>1813.8058513344</v>
      </c>
      <c r="K152" s="12">
        <f>9.591811184736*E152*F152</f>
        <v>930.405684919392</v>
      </c>
      <c r="L152" s="12">
        <f>3.92836752*E152*F152</f>
        <v>381.05164944</v>
      </c>
      <c r="M152" s="15">
        <f t="shared" si="14"/>
        <v>18227.924332893792</v>
      </c>
    </row>
    <row r="153" spans="2:13" ht="12">
      <c r="B153" s="7">
        <v>146</v>
      </c>
      <c r="C153" s="5" t="s">
        <v>245</v>
      </c>
      <c r="D153" s="5" t="s">
        <v>246</v>
      </c>
      <c r="E153" s="9">
        <v>2910</v>
      </c>
      <c r="F153" s="9">
        <v>1</v>
      </c>
      <c r="G153" s="12">
        <f>3.60060956563*E153*F153</f>
        <v>10477.7738359833</v>
      </c>
      <c r="H153" s="12">
        <f>0*E153*F153</f>
        <v>0</v>
      </c>
      <c r="I153" s="12">
        <f t="shared" si="13"/>
        <v>0</v>
      </c>
      <c r="J153" s="12">
        <f>3.4277803064798*E153*F153</f>
        <v>9974.840691856218</v>
      </c>
      <c r="K153" s="12">
        <f>0.38656144296604*E153*F153</f>
        <v>1124.8937990311765</v>
      </c>
      <c r="L153" s="12">
        <f>0.720121913126*E153*F153</f>
        <v>2095.55476719666</v>
      </c>
      <c r="M153" s="15">
        <f t="shared" si="14"/>
        <v>23673.063094067355</v>
      </c>
    </row>
    <row r="154" spans="2:13" ht="36">
      <c r="B154" s="7">
        <v>147</v>
      </c>
      <c r="C154" s="5" t="s">
        <v>247</v>
      </c>
      <c r="D154" s="5" t="s">
        <v>150</v>
      </c>
      <c r="E154" s="9">
        <v>5.82</v>
      </c>
      <c r="F154" s="9">
        <v>1</v>
      </c>
      <c r="G154" s="12">
        <f>3698.97*E154*F154</f>
        <v>21528.0054</v>
      </c>
      <c r="H154" s="12">
        <f>829.59594127661*E154*F154</f>
        <v>4828.2483782298705</v>
      </c>
      <c r="I154" s="12">
        <f t="shared" si="13"/>
        <v>0</v>
      </c>
      <c r="J154" s="12">
        <f>3521.41944*E154*F154</f>
        <v>20494.661140800003</v>
      </c>
      <c r="K154" s="12">
        <f>442.74919597021*E154*F154</f>
        <v>2576.8003205466225</v>
      </c>
      <c r="L154" s="12">
        <f>739.794*E154*F154</f>
        <v>4305.60108</v>
      </c>
      <c r="M154" s="15">
        <f t="shared" si="14"/>
        <v>53733.316319576494</v>
      </c>
    </row>
    <row r="155" spans="2:13" ht="19.5" customHeight="1">
      <c r="B155" s="73" t="s">
        <v>110</v>
      </c>
      <c r="C155" s="74"/>
      <c r="D155" s="74"/>
      <c r="E155" s="74"/>
      <c r="F155" s="74"/>
      <c r="G155" s="13">
        <f aca="true" t="shared" si="16" ref="G155:M155">SUM(G63:G154)</f>
        <v>3762994.933650718</v>
      </c>
      <c r="H155" s="13">
        <f t="shared" si="16"/>
        <v>2522405.265698304</v>
      </c>
      <c r="I155" s="13">
        <f t="shared" si="16"/>
        <v>0</v>
      </c>
      <c r="J155" s="13">
        <f t="shared" si="16"/>
        <v>3582371.1768354843</v>
      </c>
      <c r="K155" s="13">
        <f t="shared" si="16"/>
        <v>542727.4256901467</v>
      </c>
      <c r="L155" s="13">
        <f t="shared" si="16"/>
        <v>752598.9867301437</v>
      </c>
      <c r="M155" s="16">
        <f t="shared" si="16"/>
        <v>11163097.788604798</v>
      </c>
    </row>
    <row r="156" spans="2:13" ht="21.75" customHeight="1">
      <c r="B156" s="69" t="s">
        <v>248</v>
      </c>
      <c r="C156" s="70"/>
      <c r="D156" s="70"/>
      <c r="E156" s="70"/>
      <c r="F156" s="70"/>
      <c r="G156" s="71"/>
      <c r="H156" s="71"/>
      <c r="I156" s="71"/>
      <c r="J156" s="71"/>
      <c r="K156" s="71"/>
      <c r="L156" s="71"/>
      <c r="M156" s="72"/>
    </row>
    <row r="157" spans="2:13" ht="36">
      <c r="B157" s="6">
        <v>148</v>
      </c>
      <c r="C157" s="4" t="s">
        <v>249</v>
      </c>
      <c r="D157" s="4" t="s">
        <v>250</v>
      </c>
      <c r="E157" s="8">
        <v>50.459</v>
      </c>
      <c r="F157" s="8">
        <v>247</v>
      </c>
      <c r="G157" s="11">
        <f>90.423*E157*F157</f>
        <v>1126975.576779</v>
      </c>
      <c r="H157" s="11">
        <f>0.6064878699*E157*F157</f>
        <v>7558.884542539174</v>
      </c>
      <c r="I157" s="11">
        <f aca="true" t="shared" si="17" ref="I157:I188">0*E157*F157</f>
        <v>0</v>
      </c>
      <c r="J157" s="11">
        <f>86.082696*E157*F157</f>
        <v>1072880.749093608</v>
      </c>
      <c r="K157" s="11">
        <f>9.7411701128445*E157*F157</f>
        <v>121407.83657283311</v>
      </c>
      <c r="L157" s="11">
        <f>18.0846*E157*F157</f>
        <v>225395.1153558</v>
      </c>
      <c r="M157" s="14">
        <f aca="true" t="shared" si="18" ref="M157:M188">SUM(G157:L157)</f>
        <v>2554218.16234378</v>
      </c>
    </row>
    <row r="158" spans="2:13" ht="36">
      <c r="B158" s="7">
        <v>149</v>
      </c>
      <c r="C158" s="5" t="s">
        <v>251</v>
      </c>
      <c r="D158" s="5" t="s">
        <v>252</v>
      </c>
      <c r="E158" s="9">
        <v>403.675</v>
      </c>
      <c r="F158" s="9">
        <v>52</v>
      </c>
      <c r="G158" s="12">
        <f>79.2596664434*E158*F158</f>
        <v>1663747.5842800536</v>
      </c>
      <c r="H158" s="12">
        <f>0.5316122394*E158*F158</f>
        <v>11159.12567846934</v>
      </c>
      <c r="I158" s="12">
        <f t="shared" si="17"/>
        <v>0</v>
      </c>
      <c r="J158" s="12">
        <f>75.455202454117*E158*F158</f>
        <v>1583887.7002346155</v>
      </c>
      <c r="K158" s="12">
        <f>8.5385564625304*E158*F158</f>
        <v>179233.6925606219</v>
      </c>
      <c r="L158" s="12">
        <f>15.85193328868*E158*F158</f>
        <v>332749.51685601077</v>
      </c>
      <c r="M158" s="15">
        <f t="shared" si="18"/>
        <v>3770777.6196097713</v>
      </c>
    </row>
    <row r="159" spans="2:13" ht="36">
      <c r="B159" s="7">
        <v>150</v>
      </c>
      <c r="C159" s="5" t="s">
        <v>253</v>
      </c>
      <c r="D159" s="5" t="s">
        <v>254</v>
      </c>
      <c r="E159" s="9">
        <v>8.73</v>
      </c>
      <c r="F159" s="9">
        <v>247</v>
      </c>
      <c r="G159" s="12">
        <f>121.6803335566*E159*F159</f>
        <v>262380.52005143213</v>
      </c>
      <c r="H159" s="12">
        <f>0.8161372395*E159*F159</f>
        <v>1759.844890906245</v>
      </c>
      <c r="I159" s="12">
        <f t="shared" si="17"/>
        <v>0</v>
      </c>
      <c r="J159" s="12">
        <f>115.83967754588*E159*F159</f>
        <v>249786.2550889565</v>
      </c>
      <c r="K159" s="12">
        <f>13.108488158809*E159*F159</f>
        <v>28265.964101721434</v>
      </c>
      <c r="L159" s="12">
        <f>24.33606671132*E159*F159</f>
        <v>52476.104010286435</v>
      </c>
      <c r="M159" s="15">
        <f t="shared" si="18"/>
        <v>594668.6881433027</v>
      </c>
    </row>
    <row r="160" spans="2:13" ht="24">
      <c r="B160" s="7">
        <v>151</v>
      </c>
      <c r="C160" s="5" t="s">
        <v>255</v>
      </c>
      <c r="D160" s="5" t="s">
        <v>256</v>
      </c>
      <c r="E160" s="9">
        <v>5.82</v>
      </c>
      <c r="F160" s="9">
        <v>247</v>
      </c>
      <c r="G160" s="12">
        <f>66.98*E160*F160</f>
        <v>96286.42920000001</v>
      </c>
      <c r="H160" s="12">
        <f>0.4492505952*E160*F160</f>
        <v>645.815700623808</v>
      </c>
      <c r="I160" s="12">
        <f t="shared" si="17"/>
        <v>0</v>
      </c>
      <c r="J160" s="12">
        <f>63.76496*E160*F160</f>
        <v>91664.68059840001</v>
      </c>
      <c r="K160" s="12">
        <f>7.215681582736*E160*F160</f>
        <v>10372.83090244631</v>
      </c>
      <c r="L160" s="12">
        <f>13.396*E160*F160</f>
        <v>19257.285840000004</v>
      </c>
      <c r="M160" s="15">
        <f t="shared" si="18"/>
        <v>218227.04224147013</v>
      </c>
    </row>
    <row r="161" spans="2:13" ht="24">
      <c r="B161" s="7">
        <v>152</v>
      </c>
      <c r="C161" s="5" t="s">
        <v>257</v>
      </c>
      <c r="D161" s="5" t="s">
        <v>250</v>
      </c>
      <c r="E161" s="9">
        <v>50.459</v>
      </c>
      <c r="F161" s="9">
        <v>52</v>
      </c>
      <c r="G161" s="12">
        <f>119.4476664434*E161*F161</f>
        <v>313414.9096555111</v>
      </c>
      <c r="H161" s="12">
        <f>46.180722357*E161*F161</f>
        <v>121172.11960941688</v>
      </c>
      <c r="I161" s="12">
        <f t="shared" si="17"/>
        <v>0</v>
      </c>
      <c r="J161" s="12">
        <f>113.71417845412*E161*F161</f>
        <v>298370.99399205495</v>
      </c>
      <c r="K161" s="12">
        <f>15.363841198998*E161*F161</f>
        <v>40312.69127913249</v>
      </c>
      <c r="L161" s="12">
        <f>23.88953328868*E161*F161</f>
        <v>62682.98193110222</v>
      </c>
      <c r="M161" s="15">
        <f t="shared" si="18"/>
        <v>835953.6964672176</v>
      </c>
    </row>
    <row r="162" spans="2:13" ht="24">
      <c r="B162" s="7">
        <v>153</v>
      </c>
      <c r="C162" s="5" t="s">
        <v>258</v>
      </c>
      <c r="D162" s="5" t="s">
        <v>250</v>
      </c>
      <c r="E162" s="9">
        <v>403.675</v>
      </c>
      <c r="F162" s="9">
        <v>12</v>
      </c>
      <c r="G162" s="12">
        <f>91.5393335566*E162*F162</f>
        <v>443425.685681526</v>
      </c>
      <c r="H162" s="12">
        <f>46.120307904*E162*F162</f>
        <v>223411.38351776643</v>
      </c>
      <c r="I162" s="12">
        <f t="shared" si="17"/>
        <v>0</v>
      </c>
      <c r="J162" s="12">
        <f>87.145445545883*E162*F162</f>
        <v>422141.2527688119</v>
      </c>
      <c r="K162" s="12">
        <f>12.364279785357*E162*F162</f>
        <v>59893.807708247856</v>
      </c>
      <c r="L162" s="12">
        <f>18.30786671132*E162*F162</f>
        <v>88685.13713630522</v>
      </c>
      <c r="M162" s="15">
        <f t="shared" si="18"/>
        <v>1237557.2668126572</v>
      </c>
    </row>
    <row r="163" spans="2:13" ht="12">
      <c r="B163" s="7">
        <v>154</v>
      </c>
      <c r="C163" s="5" t="s">
        <v>259</v>
      </c>
      <c r="D163" s="5" t="s">
        <v>256</v>
      </c>
      <c r="E163" s="9">
        <v>5.82</v>
      </c>
      <c r="F163" s="9">
        <v>52</v>
      </c>
      <c r="G163" s="12">
        <f>118.333566*E163*F163</f>
        <v>35812.47041424</v>
      </c>
      <c r="H163" s="12">
        <f>63.396387846*E163*F163</f>
        <v>19186.28281771344</v>
      </c>
      <c r="I163" s="12">
        <f t="shared" si="17"/>
        <v>0</v>
      </c>
      <c r="J163" s="12">
        <f>112.653554832*E163*F163</f>
        <v>34093.47183435648</v>
      </c>
      <c r="K163" s="12">
        <f>16.19109297729*E163*F163</f>
        <v>4900.072378647046</v>
      </c>
      <c r="L163" s="12">
        <f>23.6667132*E163*F163</f>
        <v>7162.494082848001</v>
      </c>
      <c r="M163" s="15">
        <f t="shared" si="18"/>
        <v>101154.79152780496</v>
      </c>
    </row>
    <row r="164" spans="2:13" ht="36">
      <c r="B164" s="7">
        <v>155</v>
      </c>
      <c r="C164" s="5" t="s">
        <v>260</v>
      </c>
      <c r="D164" s="5" t="s">
        <v>261</v>
      </c>
      <c r="E164" s="9">
        <v>35.629</v>
      </c>
      <c r="F164" s="9">
        <v>365</v>
      </c>
      <c r="G164" s="12">
        <f>36.15333348*E164*F164</f>
        <v>470159.09827400575</v>
      </c>
      <c r="H164" s="12">
        <f>1.05173343*E164*F164</f>
        <v>13677.356787776549</v>
      </c>
      <c r="I164" s="12">
        <f t="shared" si="17"/>
        <v>0</v>
      </c>
      <c r="J164" s="12">
        <f>34.41797347296*E164*F164</f>
        <v>447591.46155685355</v>
      </c>
      <c r="K164" s="12">
        <f>3.9392672210628*E164*F164</f>
        <v>51228.53541402497</v>
      </c>
      <c r="L164" s="12">
        <f>7.230666696*E164*F164</f>
        <v>94031.81965480115</v>
      </c>
      <c r="M164" s="15">
        <f t="shared" si="18"/>
        <v>1076688.271687462</v>
      </c>
    </row>
    <row r="165" spans="2:13" ht="36">
      <c r="B165" s="7">
        <v>156</v>
      </c>
      <c r="C165" s="5" t="s">
        <v>262</v>
      </c>
      <c r="D165" s="5" t="s">
        <v>263</v>
      </c>
      <c r="E165" s="9">
        <v>11.64</v>
      </c>
      <c r="F165" s="9">
        <v>365</v>
      </c>
      <c r="G165" s="12">
        <f>46.56666652*E165*F165</f>
        <v>197843.13937687202</v>
      </c>
      <c r="H165" s="12">
        <f>1.354666203*E165*F165</f>
        <v>5755.434830065801</v>
      </c>
      <c r="I165" s="12">
        <f t="shared" si="17"/>
        <v>0</v>
      </c>
      <c r="J165" s="12">
        <f>44.33146652704*E165*F165</f>
        <v>188346.66868678216</v>
      </c>
      <c r="K165" s="12">
        <f>5.0739039587522*E165*F165</f>
        <v>21556.988359154595</v>
      </c>
      <c r="L165" s="12">
        <f>9.313333304*E165*F165</f>
        <v>39568.627875374405</v>
      </c>
      <c r="M165" s="15">
        <f t="shared" si="18"/>
        <v>453070.85912824894</v>
      </c>
    </row>
    <row r="166" spans="2:13" ht="36">
      <c r="B166" s="7">
        <v>157</v>
      </c>
      <c r="C166" s="5" t="s">
        <v>264</v>
      </c>
      <c r="D166" s="5" t="s">
        <v>263</v>
      </c>
      <c r="E166" s="9">
        <v>11.64</v>
      </c>
      <c r="F166" s="9">
        <v>30</v>
      </c>
      <c r="G166" s="12">
        <f>161.33333348*E166*F166</f>
        <v>56337.600051216</v>
      </c>
      <c r="H166" s="12">
        <f>231.782100165*E166*F166</f>
        <v>80938.30937761802</v>
      </c>
      <c r="I166" s="12">
        <f t="shared" si="17"/>
        <v>0</v>
      </c>
      <c r="J166" s="12">
        <f>153.58933347296*E166*F166</f>
        <v>53633.39524875763</v>
      </c>
      <c r="K166" s="12">
        <f>30.068762191488*E166*F166</f>
        <v>10500.01175726761</v>
      </c>
      <c r="L166" s="12">
        <f>32.266666696*E166*F166</f>
        <v>11267.520010243203</v>
      </c>
      <c r="M166" s="15">
        <f t="shared" si="18"/>
        <v>212676.83644510247</v>
      </c>
    </row>
    <row r="167" spans="2:13" ht="24">
      <c r="B167" s="7">
        <v>158</v>
      </c>
      <c r="C167" s="5" t="s">
        <v>265</v>
      </c>
      <c r="D167" s="5" t="s">
        <v>266</v>
      </c>
      <c r="E167" s="9">
        <v>29.1</v>
      </c>
      <c r="F167" s="9">
        <v>12</v>
      </c>
      <c r="G167" s="12">
        <f>150.92*E167*F167</f>
        <v>52701.263999999996</v>
      </c>
      <c r="H167" s="12">
        <f>250.371792*E167*F167</f>
        <v>87429.82976640001</v>
      </c>
      <c r="I167" s="12">
        <f t="shared" si="17"/>
        <v>0</v>
      </c>
      <c r="J167" s="12">
        <f>143.67584*E167*F167</f>
        <v>50171.603328</v>
      </c>
      <c r="K167" s="12">
        <f>29.97321976*E167*F167</f>
        <v>10466.648340192001</v>
      </c>
      <c r="L167" s="12">
        <f>30.184*E167*F167</f>
        <v>10540.2528</v>
      </c>
      <c r="M167" s="15">
        <f t="shared" si="18"/>
        <v>211309.598234592</v>
      </c>
    </row>
    <row r="168" spans="2:13" ht="24">
      <c r="B168" s="7">
        <v>159</v>
      </c>
      <c r="C168" s="5" t="s">
        <v>267</v>
      </c>
      <c r="D168" s="5" t="s">
        <v>268</v>
      </c>
      <c r="E168" s="9">
        <v>97</v>
      </c>
      <c r="F168" s="9">
        <v>12</v>
      </c>
      <c r="G168" s="12">
        <f>25.5948*E168*F168</f>
        <v>29792.3472</v>
      </c>
      <c r="H168" s="12">
        <f>250.371792*E168*F168</f>
        <v>291432.765888</v>
      </c>
      <c r="I168" s="12">
        <f t="shared" si="17"/>
        <v>0</v>
      </c>
      <c r="J168" s="12">
        <f>24.3662496*E168*F168</f>
        <v>28362.3145344</v>
      </c>
      <c r="K168" s="12">
        <f>16.518306288*E168*F168</f>
        <v>19227.308519232</v>
      </c>
      <c r="L168" s="12">
        <f>5.11896*E168*F168</f>
        <v>5958.469440000001</v>
      </c>
      <c r="M168" s="15">
        <f t="shared" si="18"/>
        <v>374773.2055816321</v>
      </c>
    </row>
    <row r="169" spans="2:13" ht="24">
      <c r="B169" s="7">
        <v>160</v>
      </c>
      <c r="C169" s="5" t="s">
        <v>269</v>
      </c>
      <c r="D169" s="5" t="s">
        <v>270</v>
      </c>
      <c r="E169" s="9">
        <v>15.52</v>
      </c>
      <c r="F169" s="9">
        <v>2</v>
      </c>
      <c r="G169" s="12">
        <f>152.9376664434*E169*F169</f>
        <v>4747.185166403136</v>
      </c>
      <c r="H169" s="12">
        <f>25.6856142906*E169*F169</f>
        <v>797.281467580224</v>
      </c>
      <c r="I169" s="12">
        <f t="shared" si="17"/>
        <v>0</v>
      </c>
      <c r="J169" s="12">
        <f>145.59665845412*E169*F169</f>
        <v>4519.320278415885</v>
      </c>
      <c r="K169" s="12">
        <f>17.832096655346*E169*F169</f>
        <v>553.5082801819398</v>
      </c>
      <c r="L169" s="12">
        <f>30.58753328868*E169*F169</f>
        <v>949.4370332806271</v>
      </c>
      <c r="M169" s="15">
        <f t="shared" si="18"/>
        <v>11566.73222586181</v>
      </c>
    </row>
    <row r="170" spans="2:13" ht="24">
      <c r="B170" s="7">
        <v>161</v>
      </c>
      <c r="C170" s="5" t="s">
        <v>271</v>
      </c>
      <c r="D170" s="5" t="s">
        <v>272</v>
      </c>
      <c r="E170" s="9">
        <v>4.656</v>
      </c>
      <c r="F170" s="9">
        <v>2</v>
      </c>
      <c r="G170" s="12">
        <f>146.2396664434*E170*F170</f>
        <v>1361.7837739209408</v>
      </c>
      <c r="H170" s="12">
        <f>24.762492513*E170*F170</f>
        <v>230.588330281056</v>
      </c>
      <c r="I170" s="12">
        <f t="shared" si="17"/>
        <v>0</v>
      </c>
      <c r="J170" s="12">
        <f>139.22016245412*E170*F170</f>
        <v>1296.4181527727653</v>
      </c>
      <c r="K170" s="12">
        <f>17.062227677578*E170*F170</f>
        <v>158.88346413360634</v>
      </c>
      <c r="L170" s="12">
        <f>29.24793328868*E170*F170</f>
        <v>272.3567547841881</v>
      </c>
      <c r="M170" s="15">
        <f t="shared" si="18"/>
        <v>3320.0304758925563</v>
      </c>
    </row>
    <row r="171" spans="2:13" ht="24">
      <c r="B171" s="7">
        <v>162</v>
      </c>
      <c r="C171" s="5" t="s">
        <v>273</v>
      </c>
      <c r="D171" s="5" t="s">
        <v>274</v>
      </c>
      <c r="E171" s="9">
        <v>26.56</v>
      </c>
      <c r="F171" s="9">
        <v>1</v>
      </c>
      <c r="G171" s="12">
        <f>269.04185*E171*F171</f>
        <v>7145.751536</v>
      </c>
      <c r="H171" s="12">
        <f>31.063385232*E171*F171</f>
        <v>825.0435117619201</v>
      </c>
      <c r="I171" s="12">
        <f t="shared" si="17"/>
        <v>0</v>
      </c>
      <c r="J171" s="12">
        <f>256.1278412*E171*F171</f>
        <v>6802.755462271999</v>
      </c>
      <c r="K171" s="12">
        <f>30.59281920376*E171*F171</f>
        <v>812.5452780518656</v>
      </c>
      <c r="L171" s="12">
        <f>53.80837*E171*F171</f>
        <v>1429.1503071999998</v>
      </c>
      <c r="M171" s="15">
        <f t="shared" si="18"/>
        <v>17015.246095285784</v>
      </c>
    </row>
    <row r="172" spans="2:13" ht="24">
      <c r="B172" s="7">
        <v>163</v>
      </c>
      <c r="C172" s="5" t="s">
        <v>275</v>
      </c>
      <c r="D172" s="5" t="s">
        <v>274</v>
      </c>
      <c r="E172" s="9">
        <v>20</v>
      </c>
      <c r="F172" s="9">
        <v>1</v>
      </c>
      <c r="G172" s="12">
        <f>354.70691693437*E172*F172</f>
        <v>7094.1383386873995</v>
      </c>
      <c r="H172" s="12">
        <f>25.050493512*E172*F172</f>
        <v>501.00987024</v>
      </c>
      <c r="I172" s="12">
        <f t="shared" si="17"/>
        <v>0</v>
      </c>
      <c r="J172" s="12">
        <f>337.68098492152*E172*F172</f>
        <v>6753.619698430401</v>
      </c>
      <c r="K172" s="12">
        <f>39.459111745234*E172*F172</f>
        <v>789.18223490468</v>
      </c>
      <c r="L172" s="12">
        <f>70.941383386874*E172*F172</f>
        <v>1418.82766773748</v>
      </c>
      <c r="M172" s="15">
        <f t="shared" si="18"/>
        <v>16556.77780999996</v>
      </c>
    </row>
    <row r="173" spans="2:13" ht="24">
      <c r="B173" s="7">
        <v>164</v>
      </c>
      <c r="C173" s="5" t="s">
        <v>276</v>
      </c>
      <c r="D173" s="5" t="s">
        <v>277</v>
      </c>
      <c r="E173" s="9">
        <v>604.93</v>
      </c>
      <c r="F173" s="9">
        <v>2</v>
      </c>
      <c r="G173" s="12">
        <f>25.6756664434*E173*F173</f>
        <v>31063.96180321192</v>
      </c>
      <c r="H173" s="12">
        <f>0.1837118151*E173*F173</f>
        <v>222.265576616886</v>
      </c>
      <c r="I173" s="12">
        <f t="shared" si="17"/>
        <v>0</v>
      </c>
      <c r="J173" s="12">
        <f>24.443234454117*E173*F173</f>
        <v>29572.89163665799</v>
      </c>
      <c r="K173" s="12">
        <f>2.7666436991939*E173*F173</f>
        <v>3347.2515459067313</v>
      </c>
      <c r="L173" s="12">
        <f>5.13513328868*E173*F173</f>
        <v>6212.792360642384</v>
      </c>
      <c r="M173" s="15">
        <f t="shared" si="18"/>
        <v>70419.16292303591</v>
      </c>
    </row>
    <row r="174" spans="2:13" ht="12">
      <c r="B174" s="7">
        <v>165</v>
      </c>
      <c r="C174" s="5" t="s">
        <v>278</v>
      </c>
      <c r="D174" s="5" t="s">
        <v>279</v>
      </c>
      <c r="E174" s="9">
        <v>240</v>
      </c>
      <c r="F174" s="9">
        <v>2</v>
      </c>
      <c r="G174" s="12">
        <f>31.25309024706*E174*F174</f>
        <v>15001.4833185888</v>
      </c>
      <c r="H174" s="12">
        <f>0.93159*E174*F174</f>
        <v>447.1632</v>
      </c>
      <c r="I174" s="12">
        <f t="shared" si="17"/>
        <v>0</v>
      </c>
      <c r="J174" s="12">
        <f>29.752941915201*E174*F174</f>
        <v>14281.41211929648</v>
      </c>
      <c r="K174" s="12">
        <f>3.4065692189244*E174*F174</f>
        <v>1635.153225083712</v>
      </c>
      <c r="L174" s="12">
        <f>6.250618049412*E174*F174</f>
        <v>3000.29666371776</v>
      </c>
      <c r="M174" s="15">
        <f t="shared" si="18"/>
        <v>34365.50852668675</v>
      </c>
    </row>
    <row r="175" spans="2:13" ht="24">
      <c r="B175" s="7">
        <v>166</v>
      </c>
      <c r="C175" s="5" t="s">
        <v>280</v>
      </c>
      <c r="D175" s="5" t="s">
        <v>281</v>
      </c>
      <c r="E175" s="9">
        <v>1.8</v>
      </c>
      <c r="F175" s="9">
        <v>1</v>
      </c>
      <c r="G175" s="12">
        <f>71.6686*E175*F175</f>
        <v>129.00348</v>
      </c>
      <c r="H175" s="12">
        <f>27.10323*E175*F175</f>
        <v>48.785814</v>
      </c>
      <c r="I175" s="12">
        <f t="shared" si="17"/>
        <v>0</v>
      </c>
      <c r="J175" s="12">
        <f>68.2285072*E175*F175</f>
        <v>122.81131296</v>
      </c>
      <c r="K175" s="12">
        <f>9.185018546*E175*F175</f>
        <v>16.5330333828</v>
      </c>
      <c r="L175" s="12">
        <f>14.33372*E175*F175</f>
        <v>25.800696</v>
      </c>
      <c r="M175" s="15">
        <f t="shared" si="18"/>
        <v>342.9343363428</v>
      </c>
    </row>
    <row r="176" spans="2:13" ht="60">
      <c r="B176" s="7">
        <v>167</v>
      </c>
      <c r="C176" s="5" t="s">
        <v>282</v>
      </c>
      <c r="D176" s="5" t="s">
        <v>283</v>
      </c>
      <c r="E176" s="9">
        <v>1.8</v>
      </c>
      <c r="F176" s="9">
        <v>1</v>
      </c>
      <c r="G176" s="12">
        <f>90.423*E176*F176</f>
        <v>162.7614</v>
      </c>
      <c r="H176" s="12">
        <f>27.10323*E176*F176</f>
        <v>48.785814</v>
      </c>
      <c r="I176" s="12">
        <f t="shared" si="17"/>
        <v>0</v>
      </c>
      <c r="J176" s="12">
        <f>86.082696*E176*F176</f>
        <v>154.9488528</v>
      </c>
      <c r="K176" s="12">
        <f>11.19849093*E176*F176</f>
        <v>20.157283674000002</v>
      </c>
      <c r="L176" s="12">
        <f>18.0846*E176*F176</f>
        <v>32.552279999999996</v>
      </c>
      <c r="M176" s="15">
        <f t="shared" si="18"/>
        <v>419.205630474</v>
      </c>
    </row>
    <row r="177" spans="2:13" ht="24">
      <c r="B177" s="7">
        <v>168</v>
      </c>
      <c r="C177" s="5" t="s">
        <v>284</v>
      </c>
      <c r="D177" s="5" t="s">
        <v>285</v>
      </c>
      <c r="E177" s="9">
        <v>3.67</v>
      </c>
      <c r="F177" s="9">
        <v>1</v>
      </c>
      <c r="G177" s="12">
        <f>121.9036*E177*F177</f>
        <v>447.386212</v>
      </c>
      <c r="H177" s="12">
        <f>27.10323*E177*F177</f>
        <v>99.4688541</v>
      </c>
      <c r="I177" s="12">
        <f t="shared" si="17"/>
        <v>0</v>
      </c>
      <c r="J177" s="12">
        <f>116.0522272*E177*F177</f>
        <v>425.911673824</v>
      </c>
      <c r="K177" s="12">
        <f>14.578248146*E177*F177</f>
        <v>53.50217069582</v>
      </c>
      <c r="L177" s="12">
        <f>24.38072*E177*F177</f>
        <v>89.4772424</v>
      </c>
      <c r="M177" s="15">
        <f t="shared" si="18"/>
        <v>1115.74615301982</v>
      </c>
    </row>
    <row r="178" spans="2:13" ht="12">
      <c r="B178" s="7">
        <v>169</v>
      </c>
      <c r="C178" s="5" t="s">
        <v>286</v>
      </c>
      <c r="D178" s="5" t="s">
        <v>287</v>
      </c>
      <c r="E178" s="9">
        <v>1024.836</v>
      </c>
      <c r="F178" s="9">
        <v>1</v>
      </c>
      <c r="G178" s="12">
        <f>70.329*E178*F178</f>
        <v>72075.69104399999</v>
      </c>
      <c r="H178" s="12">
        <f>4.13127*E178*F178</f>
        <v>4233.87422172</v>
      </c>
      <c r="I178" s="12">
        <f t="shared" si="17"/>
        <v>0</v>
      </c>
      <c r="J178" s="12">
        <f>66.953208*E178*F178</f>
        <v>68616.057873888</v>
      </c>
      <c r="K178" s="12">
        <f>7.77774129*E178*F178</f>
        <v>7970.90927267844</v>
      </c>
      <c r="L178" s="12">
        <f>14.0658*E178*F178</f>
        <v>14415.1382088</v>
      </c>
      <c r="M178" s="15">
        <f t="shared" si="18"/>
        <v>167311.67062108644</v>
      </c>
    </row>
    <row r="179" spans="2:13" ht="24">
      <c r="B179" s="7">
        <v>170</v>
      </c>
      <c r="C179" s="5" t="s">
        <v>288</v>
      </c>
      <c r="D179" s="5" t="s">
        <v>289</v>
      </c>
      <c r="E179" s="9">
        <v>36.006</v>
      </c>
      <c r="F179" s="9">
        <v>144</v>
      </c>
      <c r="G179" s="12">
        <f>89.0834*E179*F179</f>
        <v>461885.31365759997</v>
      </c>
      <c r="H179" s="12">
        <f>2.87892*E179*F179</f>
        <v>14926.80866688</v>
      </c>
      <c r="I179" s="12">
        <f t="shared" si="17"/>
        <v>0</v>
      </c>
      <c r="J179" s="12">
        <f>84.8073968*E179*F179</f>
        <v>439714.81860203523</v>
      </c>
      <c r="K179" s="12">
        <f>9.722334424*E179*F179</f>
        <v>50408.98175095834</v>
      </c>
      <c r="L179" s="12">
        <f>17.81668*E179*F179</f>
        <v>92377.06273152001</v>
      </c>
      <c r="M179" s="15">
        <f t="shared" si="18"/>
        <v>1059312.9854089937</v>
      </c>
    </row>
    <row r="180" spans="2:13" ht="24">
      <c r="B180" s="7">
        <v>171</v>
      </c>
      <c r="C180" s="5" t="s">
        <v>290</v>
      </c>
      <c r="D180" s="5" t="s">
        <v>289</v>
      </c>
      <c r="E180" s="9">
        <v>112.061</v>
      </c>
      <c r="F180" s="9">
        <v>91</v>
      </c>
      <c r="G180" s="12">
        <f>145.3466*E180*F180</f>
        <v>1482179.3661765999</v>
      </c>
      <c r="H180" s="12">
        <f>4.56984*E180*F180</f>
        <v>46601.176461840005</v>
      </c>
      <c r="I180" s="12">
        <f t="shared" si="17"/>
        <v>0</v>
      </c>
      <c r="J180" s="12">
        <f>138.3699632*E180*F180</f>
        <v>1411034.7566001234</v>
      </c>
      <c r="K180" s="12">
        <f>15.855752176*E180*F180</f>
        <v>161689.84145812097</v>
      </c>
      <c r="L180" s="12">
        <f>29.06932*E180*F180</f>
        <v>296435.87323532003</v>
      </c>
      <c r="M180" s="15">
        <f t="shared" si="18"/>
        <v>3397941.0139320046</v>
      </c>
    </row>
    <row r="181" spans="2:13" ht="24">
      <c r="B181" s="7">
        <v>172</v>
      </c>
      <c r="C181" s="5" t="s">
        <v>291</v>
      </c>
      <c r="D181" s="5" t="s">
        <v>292</v>
      </c>
      <c r="E181" s="9">
        <v>0.336</v>
      </c>
      <c r="F181" s="9">
        <v>7</v>
      </c>
      <c r="G181" s="12">
        <f>78143.5566*E181*F181</f>
        <v>183793.6451232</v>
      </c>
      <c r="H181" s="12">
        <f>562.89024*E181*F181</f>
        <v>1323.91784448</v>
      </c>
      <c r="I181" s="12">
        <f t="shared" si="17"/>
        <v>0</v>
      </c>
      <c r="J181" s="12">
        <f>74392.6658832*E181*F181</f>
        <v>174971.5501572864</v>
      </c>
      <c r="K181" s="12">
        <f>8420.451199776*E181*F181</f>
        <v>19804.90122187315</v>
      </c>
      <c r="L181" s="12">
        <f>15628.71132*E181*F181</f>
        <v>36758.72902464</v>
      </c>
      <c r="M181" s="15">
        <f t="shared" si="18"/>
        <v>416652.7433714795</v>
      </c>
    </row>
    <row r="182" spans="2:13" ht="12">
      <c r="B182" s="7">
        <v>173</v>
      </c>
      <c r="C182" s="5" t="s">
        <v>293</v>
      </c>
      <c r="D182" s="5" t="s">
        <v>294</v>
      </c>
      <c r="E182" s="9">
        <v>0.336</v>
      </c>
      <c r="F182" s="9">
        <v>28</v>
      </c>
      <c r="G182" s="12">
        <f>8595.5434*E182*F182</f>
        <v>80866.87230720001</v>
      </c>
      <c r="H182" s="12">
        <f>60.3504*E182*F182</f>
        <v>567.7765632</v>
      </c>
      <c r="I182" s="12">
        <f t="shared" si="17"/>
        <v>0</v>
      </c>
      <c r="J182" s="12">
        <f>8182.9573168*E182*F182</f>
        <v>76985.2624364544</v>
      </c>
      <c r="K182" s="12">
        <f>926.136811424*E182*F182</f>
        <v>8713.095121876991</v>
      </c>
      <c r="L182" s="12">
        <f>1719.10868*E182*F182</f>
        <v>16173.374461440002</v>
      </c>
      <c r="M182" s="15">
        <f t="shared" si="18"/>
        <v>183306.38089017136</v>
      </c>
    </row>
    <row r="183" spans="2:13" ht="12">
      <c r="B183" s="7">
        <v>174</v>
      </c>
      <c r="C183" s="5" t="s">
        <v>295</v>
      </c>
      <c r="D183" s="5" t="s">
        <v>296</v>
      </c>
      <c r="E183" s="9">
        <v>0.97</v>
      </c>
      <c r="F183" s="9">
        <v>144</v>
      </c>
      <c r="G183" s="12">
        <f>532.491*E183*F183</f>
        <v>74378.34288</v>
      </c>
      <c r="H183" s="12">
        <f>3.7719*E183*F183</f>
        <v>526.858992</v>
      </c>
      <c r="I183" s="12">
        <f t="shared" si="17"/>
        <v>0</v>
      </c>
      <c r="J183" s="12">
        <f>506.931432*E183*F183</f>
        <v>70808.18242176</v>
      </c>
      <c r="K183" s="12">
        <f>57.37568826*E183*F183</f>
        <v>8014.236136156799</v>
      </c>
      <c r="L183" s="12">
        <f>106.4982*E183*F183</f>
        <v>14875.668576</v>
      </c>
      <c r="M183" s="15">
        <f t="shared" si="18"/>
        <v>168603.2890059168</v>
      </c>
    </row>
    <row r="184" spans="2:13" ht="12">
      <c r="B184" s="7">
        <v>175</v>
      </c>
      <c r="C184" s="5" t="s">
        <v>297</v>
      </c>
      <c r="D184" s="5" t="s">
        <v>298</v>
      </c>
      <c r="E184" s="9">
        <v>30</v>
      </c>
      <c r="F184" s="9">
        <v>1</v>
      </c>
      <c r="G184" s="12">
        <f>6586.8*E184*F184</f>
        <v>197604</v>
      </c>
      <c r="H184" s="12">
        <f>0*E184*F184</f>
        <v>0</v>
      </c>
      <c r="I184" s="12">
        <f t="shared" si="17"/>
        <v>0</v>
      </c>
      <c r="J184" s="12">
        <f>6270.6336*E184*F184</f>
        <v>188119.008</v>
      </c>
      <c r="K184" s="12">
        <f>707.158848*E184*F184</f>
        <v>21214.765440000003</v>
      </c>
      <c r="L184" s="12">
        <f>1317.36*E184*F184</f>
        <v>39520.799999999996</v>
      </c>
      <c r="M184" s="15">
        <f t="shared" si="18"/>
        <v>446458.57344</v>
      </c>
    </row>
    <row r="185" spans="2:13" ht="12">
      <c r="B185" s="7">
        <v>176</v>
      </c>
      <c r="C185" s="5" t="s">
        <v>299</v>
      </c>
      <c r="D185" s="5" t="s">
        <v>300</v>
      </c>
      <c r="E185" s="9">
        <v>1</v>
      </c>
      <c r="F185" s="9">
        <v>1</v>
      </c>
      <c r="G185" s="12">
        <f>15414.3*E185*F185</f>
        <v>15414.3</v>
      </c>
      <c r="H185" s="12">
        <f>0*E185*F185</f>
        <v>0</v>
      </c>
      <c r="I185" s="12">
        <f t="shared" si="17"/>
        <v>0</v>
      </c>
      <c r="J185" s="12">
        <f>14674.4136*E185*F185</f>
        <v>14674.4136</v>
      </c>
      <c r="K185" s="12">
        <f>1654.879248*E185*F185</f>
        <v>1654.879248</v>
      </c>
      <c r="L185" s="12">
        <f>3082.86*E185*F185</f>
        <v>3082.86</v>
      </c>
      <c r="M185" s="15">
        <f t="shared" si="18"/>
        <v>34826.452848</v>
      </c>
    </row>
    <row r="186" spans="2:13" ht="12">
      <c r="B186" s="7">
        <v>177</v>
      </c>
      <c r="C186" s="5" t="s">
        <v>301</v>
      </c>
      <c r="D186" s="5" t="s">
        <v>302</v>
      </c>
      <c r="E186" s="9">
        <v>1.5</v>
      </c>
      <c r="F186" s="9">
        <v>91</v>
      </c>
      <c r="G186" s="12">
        <f>145.3466*E186*F186</f>
        <v>19839.8109</v>
      </c>
      <c r="H186" s="12">
        <f>4.56984*E186*F186</f>
        <v>623.7831600000001</v>
      </c>
      <c r="I186" s="12">
        <f t="shared" si="17"/>
        <v>0</v>
      </c>
      <c r="J186" s="12">
        <f>138.3699632*E186*F186</f>
        <v>18887.499976799998</v>
      </c>
      <c r="K186" s="12">
        <f>15.855752176*E186*F186</f>
        <v>2164.310172024</v>
      </c>
      <c r="L186" s="12">
        <f>29.06932*E186*F186</f>
        <v>3967.96218</v>
      </c>
      <c r="M186" s="15">
        <f t="shared" si="18"/>
        <v>45483.366388824004</v>
      </c>
    </row>
    <row r="187" spans="2:13" ht="12">
      <c r="B187" s="7">
        <v>178</v>
      </c>
      <c r="C187" s="5" t="s">
        <v>303</v>
      </c>
      <c r="D187" s="5" t="s">
        <v>304</v>
      </c>
      <c r="E187" s="9">
        <v>97</v>
      </c>
      <c r="F187" s="9">
        <v>1</v>
      </c>
      <c r="G187" s="12">
        <f>44.97416*E187*F187</f>
        <v>4362.49352</v>
      </c>
      <c r="H187" s="12">
        <f>13.700821068*E187*F187</f>
        <v>1328.979643596</v>
      </c>
      <c r="I187" s="12">
        <f t="shared" si="17"/>
        <v>0</v>
      </c>
      <c r="J187" s="12">
        <f>42.81540032*E187*F187</f>
        <v>4153.093831040001</v>
      </c>
      <c r="K187" s="12">
        <f>5.58197097634*E187*F187</f>
        <v>541.45118470498</v>
      </c>
      <c r="L187" s="12">
        <f>8.994832*E187*F187</f>
        <v>872.4987040000001</v>
      </c>
      <c r="M187" s="15">
        <f t="shared" si="18"/>
        <v>11258.516883340979</v>
      </c>
    </row>
    <row r="188" spans="2:13" ht="12">
      <c r="B188" s="7">
        <v>179</v>
      </c>
      <c r="C188" s="5" t="s">
        <v>305</v>
      </c>
      <c r="D188" s="5" t="s">
        <v>306</v>
      </c>
      <c r="E188" s="9">
        <v>30</v>
      </c>
      <c r="F188" s="9">
        <v>1</v>
      </c>
      <c r="G188" s="12">
        <f>106.01052*E188*F188</f>
        <v>3180.3156</v>
      </c>
      <c r="H188" s="12">
        <f>21.4568046*E188*F188</f>
        <v>643.7041380000001</v>
      </c>
      <c r="I188" s="12">
        <f t="shared" si="17"/>
        <v>0</v>
      </c>
      <c r="J188" s="12">
        <f>100.92201504*E188*F188</f>
        <v>3027.6604512000004</v>
      </c>
      <c r="K188" s="12">
        <f>12.5614136802*E188*F188</f>
        <v>376.842410406</v>
      </c>
      <c r="L188" s="12">
        <f>21.202104*E188*F188</f>
        <v>636.0631199999999</v>
      </c>
      <c r="M188" s="15">
        <f t="shared" si="18"/>
        <v>7864.585719606</v>
      </c>
    </row>
    <row r="189" spans="2:13" ht="12">
      <c r="B189" s="7">
        <v>180</v>
      </c>
      <c r="C189" s="5" t="s">
        <v>307</v>
      </c>
      <c r="D189" s="5" t="s">
        <v>306</v>
      </c>
      <c r="E189" s="9">
        <v>30</v>
      </c>
      <c r="F189" s="9">
        <v>1</v>
      </c>
      <c r="G189" s="12">
        <f>106.01052*E189*F189</f>
        <v>3180.3156</v>
      </c>
      <c r="H189" s="12">
        <f>21.4568046*E189*F189</f>
        <v>643.7041380000001</v>
      </c>
      <c r="I189" s="12">
        <f aca="true" t="shared" si="19" ref="I189:I220">0*E189*F189</f>
        <v>0</v>
      </c>
      <c r="J189" s="12">
        <f>100.92201504*E189*F189</f>
        <v>3027.6604512000004</v>
      </c>
      <c r="K189" s="12">
        <f>12.5614136802*E189*F189</f>
        <v>376.842410406</v>
      </c>
      <c r="L189" s="12">
        <f>21.202104*E189*F189</f>
        <v>636.0631199999999</v>
      </c>
      <c r="M189" s="15">
        <f aca="true" t="shared" si="20" ref="M189:M220">SUM(G189:L189)</f>
        <v>7864.585719606</v>
      </c>
    </row>
    <row r="190" spans="2:13" ht="12">
      <c r="B190" s="7">
        <v>181</v>
      </c>
      <c r="C190" s="5" t="s">
        <v>308</v>
      </c>
      <c r="D190" s="5" t="s">
        <v>309</v>
      </c>
      <c r="E190" s="9">
        <v>30</v>
      </c>
      <c r="F190" s="9">
        <v>1</v>
      </c>
      <c r="G190" s="12">
        <f>48.1866*E190*F190</f>
        <v>1445.598</v>
      </c>
      <c r="H190" s="12">
        <f>21.943505034*E190*F190</f>
        <v>658.30515102</v>
      </c>
      <c r="I190" s="12">
        <f t="shared" si="19"/>
        <v>0</v>
      </c>
      <c r="J190" s="12">
        <f>45.8736432*E190*F190</f>
        <v>1376.209296</v>
      </c>
      <c r="K190" s="12">
        <f>6.38020615287*E190*F190</f>
        <v>191.40618458609998</v>
      </c>
      <c r="L190" s="12">
        <f>9.63732*E190*F190</f>
        <v>289.11960000000005</v>
      </c>
      <c r="M190" s="15">
        <f t="shared" si="20"/>
        <v>3960.6382316061004</v>
      </c>
    </row>
    <row r="191" spans="2:13" ht="12">
      <c r="B191" s="7">
        <v>182</v>
      </c>
      <c r="C191" s="5" t="s">
        <v>310</v>
      </c>
      <c r="D191" s="5" t="s">
        <v>311</v>
      </c>
      <c r="E191" s="9">
        <v>30</v>
      </c>
      <c r="F191" s="9">
        <v>1</v>
      </c>
      <c r="G191" s="12">
        <f>111.63229*E191*F191</f>
        <v>3348.9687</v>
      </c>
      <c r="H191" s="12">
        <f>21.4568046*E191*F191</f>
        <v>643.7041380000001</v>
      </c>
      <c r="I191" s="12">
        <f t="shared" si="19"/>
        <v>0</v>
      </c>
      <c r="J191" s="12">
        <f>106.27394008*E191*F191</f>
        <v>3188.2182024</v>
      </c>
      <c r="K191" s="12">
        <f>13.1649669074*E191*F191</f>
        <v>394.949007222</v>
      </c>
      <c r="L191" s="12">
        <f>22.326458*E191*F191</f>
        <v>669.79374</v>
      </c>
      <c r="M191" s="15">
        <f t="shared" si="20"/>
        <v>8245.633787621999</v>
      </c>
    </row>
    <row r="192" spans="2:13" ht="12">
      <c r="B192" s="7">
        <v>183</v>
      </c>
      <c r="C192" s="5" t="s">
        <v>312</v>
      </c>
      <c r="D192" s="5" t="s">
        <v>313</v>
      </c>
      <c r="E192" s="9">
        <v>30</v>
      </c>
      <c r="F192" s="9">
        <v>1</v>
      </c>
      <c r="G192" s="12">
        <f>51.39904*E192*F192</f>
        <v>1541.9712</v>
      </c>
      <c r="H192" s="12">
        <f>10.098713592*E192*F192</f>
        <v>302.96140776</v>
      </c>
      <c r="I192" s="12">
        <f t="shared" si="19"/>
        <v>0</v>
      </c>
      <c r="J192" s="12">
        <f>48.93188608*E192*F192</f>
        <v>1467.9565824</v>
      </c>
      <c r="K192" s="12">
        <f>6.07363018196*E192*F192</f>
        <v>182.2089054588</v>
      </c>
      <c r="L192" s="12">
        <f>10.279808*E192*F192</f>
        <v>308.39423999999997</v>
      </c>
      <c r="M192" s="15">
        <f t="shared" si="20"/>
        <v>3803.4923356188</v>
      </c>
    </row>
    <row r="193" spans="2:13" ht="12">
      <c r="B193" s="7">
        <v>184</v>
      </c>
      <c r="C193" s="5" t="s">
        <v>314</v>
      </c>
      <c r="D193" s="5" t="s">
        <v>315</v>
      </c>
      <c r="E193" s="9">
        <v>30</v>
      </c>
      <c r="F193" s="9">
        <v>1</v>
      </c>
      <c r="G193" s="12">
        <f>76.29545*E193*F193</f>
        <v>2288.8635</v>
      </c>
      <c r="H193" s="12">
        <f>13.87684584*E193*F193</f>
        <v>416.3053752</v>
      </c>
      <c r="I193" s="12">
        <f t="shared" si="19"/>
        <v>0</v>
      </c>
      <c r="J193" s="12">
        <f>72.6332684*E193*F193</f>
        <v>2178.9980520000004</v>
      </c>
      <c r="K193" s="12">
        <f>8.9543060332*E193*F193</f>
        <v>268.629180996</v>
      </c>
      <c r="L193" s="12">
        <f>15.25909*E193*F193</f>
        <v>457.7727</v>
      </c>
      <c r="M193" s="15">
        <f t="shared" si="20"/>
        <v>5610.568808196</v>
      </c>
    </row>
    <row r="194" spans="2:13" ht="24">
      <c r="B194" s="7">
        <v>185</v>
      </c>
      <c r="C194" s="5" t="s">
        <v>316</v>
      </c>
      <c r="D194" s="5" t="s">
        <v>304</v>
      </c>
      <c r="E194" s="9">
        <v>30</v>
      </c>
      <c r="F194" s="9">
        <v>1</v>
      </c>
      <c r="G194" s="12">
        <f>248.9641*E194*F194</f>
        <v>7468.923</v>
      </c>
      <c r="H194" s="12">
        <f>502.037207496*E194*F194</f>
        <v>15061.116224880001</v>
      </c>
      <c r="I194" s="12">
        <f t="shared" si="19"/>
        <v>0</v>
      </c>
      <c r="J194" s="12">
        <f>237.0138232*E194*F194</f>
        <v>7110.414696</v>
      </c>
      <c r="K194" s="12">
        <f>54.34083218828*E194*F194</f>
        <v>1630.2249656483998</v>
      </c>
      <c r="L194" s="12">
        <f>49.79282*E194*F194</f>
        <v>1493.7846</v>
      </c>
      <c r="M194" s="15">
        <f t="shared" si="20"/>
        <v>32764.4634865284</v>
      </c>
    </row>
    <row r="195" spans="2:13" ht="12">
      <c r="B195" s="7">
        <v>186</v>
      </c>
      <c r="C195" s="5" t="s">
        <v>317</v>
      </c>
      <c r="D195" s="5" t="s">
        <v>306</v>
      </c>
      <c r="E195" s="9">
        <v>30</v>
      </c>
      <c r="F195" s="9">
        <v>1</v>
      </c>
      <c r="G195" s="12">
        <f>361.3995*E195*F195</f>
        <v>10841.985</v>
      </c>
      <c r="H195" s="12">
        <f>269.63555256*E195*F195</f>
        <v>8089.0665768</v>
      </c>
      <c r="I195" s="12">
        <f t="shared" si="19"/>
        <v>0</v>
      </c>
      <c r="J195" s="12">
        <f>344.052324*E195*F195</f>
        <v>10321.56972</v>
      </c>
      <c r="K195" s="12">
        <f>53.6298057108*E195*F195</f>
        <v>1608.894171324</v>
      </c>
      <c r="L195" s="12">
        <f>72.2799*E195*F195</f>
        <v>2168.397</v>
      </c>
      <c r="M195" s="15">
        <f t="shared" si="20"/>
        <v>33029.912468124</v>
      </c>
    </row>
    <row r="196" spans="2:13" ht="12">
      <c r="B196" s="7">
        <v>187</v>
      </c>
      <c r="C196" s="5" t="s">
        <v>318</v>
      </c>
      <c r="D196" s="5" t="s">
        <v>306</v>
      </c>
      <c r="E196" s="9">
        <v>30</v>
      </c>
      <c r="F196" s="9">
        <v>1</v>
      </c>
      <c r="G196" s="12">
        <f>226.47702*E196*F196</f>
        <v>6794.310600000001</v>
      </c>
      <c r="H196" s="12">
        <f>117.52928748*E196*F196</f>
        <v>3525.8786244</v>
      </c>
      <c r="I196" s="12">
        <f t="shared" si="19"/>
        <v>0</v>
      </c>
      <c r="J196" s="12">
        <f>215.60612304*E196*F196</f>
        <v>6468.1836912</v>
      </c>
      <c r="K196" s="12">
        <f>30.7786836786*E196*F196</f>
        <v>923.360510358</v>
      </c>
      <c r="L196" s="12">
        <f>45.295404*E196*F196</f>
        <v>1358.86212</v>
      </c>
      <c r="M196" s="15">
        <f t="shared" si="20"/>
        <v>19070.595545958004</v>
      </c>
    </row>
    <row r="197" spans="2:13" ht="12">
      <c r="B197" s="7">
        <v>188</v>
      </c>
      <c r="C197" s="5" t="s">
        <v>319</v>
      </c>
      <c r="D197" s="5" t="s">
        <v>309</v>
      </c>
      <c r="E197" s="9">
        <v>30</v>
      </c>
      <c r="F197" s="9">
        <v>1</v>
      </c>
      <c r="G197" s="12">
        <f>168.6531*E197*F197</f>
        <v>5059.593</v>
      </c>
      <c r="H197" s="12">
        <f>769.04821818*E197*F197</f>
        <v>23071.446545400002</v>
      </c>
      <c r="I197" s="12">
        <f t="shared" si="19"/>
        <v>0</v>
      </c>
      <c r="J197" s="12">
        <f>160.5577512*E197*F197</f>
        <v>4816.732536</v>
      </c>
      <c r="K197" s="12">
        <f>60.4042488159*E197*F197</f>
        <v>1812.1274644769999</v>
      </c>
      <c r="L197" s="12">
        <f>33.73062*E197*F197</f>
        <v>1011.9186000000001</v>
      </c>
      <c r="M197" s="15">
        <f t="shared" si="20"/>
        <v>35771.818145877005</v>
      </c>
    </row>
    <row r="198" spans="2:13" ht="12">
      <c r="B198" s="7">
        <v>189</v>
      </c>
      <c r="C198" s="5" t="s">
        <v>320</v>
      </c>
      <c r="D198" s="5" t="s">
        <v>311</v>
      </c>
      <c r="E198" s="9">
        <v>30</v>
      </c>
      <c r="F198" s="9">
        <v>1</v>
      </c>
      <c r="G198" s="12">
        <f>2227.623255*E198*F198</f>
        <v>66828.69765</v>
      </c>
      <c r="H198" s="12">
        <f>177.5012976*E198*F198</f>
        <v>5325.038928</v>
      </c>
      <c r="I198" s="12">
        <f t="shared" si="19"/>
        <v>0</v>
      </c>
      <c r="J198" s="12">
        <f>2120.69733876*E198*F198</f>
        <v>63620.9201628</v>
      </c>
      <c r="K198" s="12">
        <f>248.9202040248*E198*F198</f>
        <v>7467.606120744</v>
      </c>
      <c r="L198" s="12">
        <f>445.524651*E198*F198</f>
        <v>13365.73953</v>
      </c>
      <c r="M198" s="15">
        <f t="shared" si="20"/>
        <v>156608.002391544</v>
      </c>
    </row>
    <row r="199" spans="2:13" ht="12">
      <c r="B199" s="7">
        <v>190</v>
      </c>
      <c r="C199" s="5" t="s">
        <v>321</v>
      </c>
      <c r="D199" s="5" t="s">
        <v>313</v>
      </c>
      <c r="E199" s="9">
        <v>30</v>
      </c>
      <c r="F199" s="9">
        <v>1</v>
      </c>
      <c r="G199" s="12">
        <f>202.06098*E199*F199</f>
        <v>6061.8294</v>
      </c>
      <c r="H199" s="12">
        <f>13.62004578*E199*F199</f>
        <v>408.6013734</v>
      </c>
      <c r="I199" s="12">
        <f t="shared" si="19"/>
        <v>0</v>
      </c>
      <c r="J199" s="12">
        <f>192.36205296*E199*F199</f>
        <v>5770.8615888</v>
      </c>
      <c r="K199" s="12">
        <f>22.4423693307*E199*F199</f>
        <v>673.271079921</v>
      </c>
      <c r="L199" s="12">
        <f>40.412196*E199*F199</f>
        <v>1212.36588</v>
      </c>
      <c r="M199" s="15">
        <f t="shared" si="20"/>
        <v>14126.929322121</v>
      </c>
    </row>
    <row r="200" spans="2:13" ht="12">
      <c r="B200" s="7">
        <v>191</v>
      </c>
      <c r="C200" s="5" t="s">
        <v>322</v>
      </c>
      <c r="D200" s="5" t="s">
        <v>315</v>
      </c>
      <c r="E200" s="9">
        <v>30</v>
      </c>
      <c r="F200" s="9">
        <v>1</v>
      </c>
      <c r="G200" s="12">
        <f>1523.38131*E200*F200</f>
        <v>45701.4393</v>
      </c>
      <c r="H200" s="12">
        <f>127.5425613*E200*F200</f>
        <v>3826.276839</v>
      </c>
      <c r="I200" s="12">
        <f t="shared" si="19"/>
        <v>0</v>
      </c>
      <c r="J200" s="12">
        <f>1450.25900712*E200*F200</f>
        <v>43507.7702136</v>
      </c>
      <c r="K200" s="12">
        <f>170.5650583131*E200*F200</f>
        <v>5116.951749393</v>
      </c>
      <c r="L200" s="12">
        <f>304.676262*E200*F200</f>
        <v>9140.28786</v>
      </c>
      <c r="M200" s="15">
        <f t="shared" si="20"/>
        <v>107292.725961993</v>
      </c>
    </row>
    <row r="201" spans="2:13" ht="12">
      <c r="B201" s="7">
        <v>192</v>
      </c>
      <c r="C201" s="5" t="s">
        <v>323</v>
      </c>
      <c r="D201" s="5" t="s">
        <v>309</v>
      </c>
      <c r="E201" s="9">
        <v>30</v>
      </c>
      <c r="F201" s="9">
        <v>1</v>
      </c>
      <c r="G201" s="12">
        <f>6.698*E201*F201</f>
        <v>200.94</v>
      </c>
      <c r="H201" s="12">
        <f>824.811273*E201*F201</f>
        <v>24744.338190000002</v>
      </c>
      <c r="I201" s="12">
        <f t="shared" si="19"/>
        <v>0</v>
      </c>
      <c r="J201" s="12">
        <f>6.376496*E201*F201</f>
        <v>191.29488</v>
      </c>
      <c r="K201" s="12">
        <f>46.083717295*E201*F201</f>
        <v>1382.51151885</v>
      </c>
      <c r="L201" s="12">
        <f>1.3396*E201*F201</f>
        <v>40.187999999999995</v>
      </c>
      <c r="M201" s="15">
        <f t="shared" si="20"/>
        <v>26559.27258885</v>
      </c>
    </row>
    <row r="202" spans="2:13" ht="36">
      <c r="B202" s="7">
        <v>193</v>
      </c>
      <c r="C202" s="5" t="s">
        <v>324</v>
      </c>
      <c r="D202" s="5" t="s">
        <v>325</v>
      </c>
      <c r="E202" s="9">
        <v>2.384</v>
      </c>
      <c r="F202" s="9">
        <v>108</v>
      </c>
      <c r="G202" s="12">
        <f>1562.6434*E202*F202</f>
        <v>402336.9214848</v>
      </c>
      <c r="H202" s="12">
        <f>63.756*E202*F202</f>
        <v>16415.384832</v>
      </c>
      <c r="I202" s="12">
        <f t="shared" si="19"/>
        <v>0</v>
      </c>
      <c r="J202" s="12">
        <f>1487.6365168*E202*F202</f>
        <v>383024.7492535296</v>
      </c>
      <c r="K202" s="12">
        <f>171.271975424*E202*F202</f>
        <v>44097.73805636812</v>
      </c>
      <c r="L202" s="12">
        <f>312.52868*E202*F202</f>
        <v>80467.38429696</v>
      </c>
      <c r="M202" s="15">
        <f t="shared" si="20"/>
        <v>926342.1779236576</v>
      </c>
    </row>
    <row r="203" spans="2:13" ht="24">
      <c r="B203" s="7">
        <v>194</v>
      </c>
      <c r="C203" s="5" t="s">
        <v>326</v>
      </c>
      <c r="D203" s="5" t="s">
        <v>325</v>
      </c>
      <c r="E203" s="9">
        <v>12.283</v>
      </c>
      <c r="F203" s="9">
        <v>22</v>
      </c>
      <c r="G203" s="12">
        <f>2344.3*E203*F203</f>
        <v>633490.8118</v>
      </c>
      <c r="H203" s="12">
        <f>68.112*E203*F203</f>
        <v>18405.633311999998</v>
      </c>
      <c r="I203" s="12">
        <f t="shared" si="19"/>
        <v>0</v>
      </c>
      <c r="J203" s="12">
        <f>2231.7736*E203*F203</f>
        <v>603083.2528335999</v>
      </c>
      <c r="K203" s="12">
        <f>255.430208*E203*F203</f>
        <v>69023.883387008</v>
      </c>
      <c r="L203" s="12">
        <f>468.86*E203*F203</f>
        <v>126698.16236</v>
      </c>
      <c r="M203" s="15">
        <f t="shared" si="20"/>
        <v>1450701.7436926079</v>
      </c>
    </row>
    <row r="204" spans="2:13" ht="36">
      <c r="B204" s="7">
        <v>195</v>
      </c>
      <c r="C204" s="5" t="s">
        <v>327</v>
      </c>
      <c r="D204" s="5" t="s">
        <v>325</v>
      </c>
      <c r="E204" s="9">
        <v>2.384</v>
      </c>
      <c r="F204" s="9">
        <v>10</v>
      </c>
      <c r="G204" s="12">
        <f>6809.8566*E204*F204</f>
        <v>162346.981344</v>
      </c>
      <c r="H204" s="12">
        <f>265.815*E204*F204</f>
        <v>6337.0296</v>
      </c>
      <c r="I204" s="12">
        <f t="shared" si="19"/>
        <v>0</v>
      </c>
      <c r="J204" s="12">
        <f>6482.9834832*E204*F204</f>
        <v>154554.32623948797</v>
      </c>
      <c r="K204" s="12">
        <f>745.726029576*E204*F204</f>
        <v>17778.10854509184</v>
      </c>
      <c r="L204" s="12">
        <f>1361.97132*E204*F204</f>
        <v>32469.396268800003</v>
      </c>
      <c r="M204" s="15">
        <f t="shared" si="20"/>
        <v>373485.8419973798</v>
      </c>
    </row>
    <row r="205" spans="2:13" ht="36">
      <c r="B205" s="7">
        <v>196</v>
      </c>
      <c r="C205" s="5" t="s">
        <v>328</v>
      </c>
      <c r="D205" s="5" t="s">
        <v>325</v>
      </c>
      <c r="E205" s="9">
        <v>0.715</v>
      </c>
      <c r="F205" s="9">
        <v>10</v>
      </c>
      <c r="G205" s="12">
        <f>47443.9434*E205*F205</f>
        <v>339224.19531</v>
      </c>
      <c r="H205" s="12">
        <f>174.24*E205*F205</f>
        <v>1245.816</v>
      </c>
      <c r="I205" s="12">
        <f t="shared" si="19"/>
        <v>0</v>
      </c>
      <c r="J205" s="12">
        <f>45166.6341168*E205*F205</f>
        <v>322941.43393512</v>
      </c>
      <c r="K205" s="12">
        <f>5103.164963424*E205*F205</f>
        <v>36487.6294884816</v>
      </c>
      <c r="L205" s="12">
        <f>9488.78868*E205*F205</f>
        <v>67844.83906199998</v>
      </c>
      <c r="M205" s="15">
        <f t="shared" si="20"/>
        <v>767743.9137956016</v>
      </c>
    </row>
    <row r="206" spans="2:13" ht="12">
      <c r="B206" s="7">
        <v>197</v>
      </c>
      <c r="C206" s="5" t="s">
        <v>329</v>
      </c>
      <c r="D206" s="5" t="s">
        <v>330</v>
      </c>
      <c r="E206" s="9">
        <v>60</v>
      </c>
      <c r="F206" s="9">
        <v>1</v>
      </c>
      <c r="G206" s="12">
        <f>55.79434*E206*F206</f>
        <v>3347.6603999999998</v>
      </c>
      <c r="H206" s="12">
        <f>0*E206*F206</f>
        <v>0</v>
      </c>
      <c r="I206" s="12">
        <f t="shared" si="19"/>
        <v>0</v>
      </c>
      <c r="J206" s="12">
        <f>53.11621168*E206*F206</f>
        <v>3186.9727008</v>
      </c>
      <c r="K206" s="12">
        <f>5.9900803424*E206*F206</f>
        <v>359.40482054399996</v>
      </c>
      <c r="L206" s="12">
        <f>11.158868*E206*F206</f>
        <v>669.53208</v>
      </c>
      <c r="M206" s="15">
        <f t="shared" si="20"/>
        <v>7563.570001344</v>
      </c>
    </row>
    <row r="207" spans="2:13" ht="12">
      <c r="B207" s="7">
        <v>198</v>
      </c>
      <c r="C207" s="5" t="s">
        <v>331</v>
      </c>
      <c r="D207" s="5" t="s">
        <v>44</v>
      </c>
      <c r="E207" s="9">
        <v>23.84</v>
      </c>
      <c r="F207" s="9">
        <v>10</v>
      </c>
      <c r="G207" s="12">
        <f>14.46768*E207*F207</f>
        <v>3449.094912</v>
      </c>
      <c r="H207" s="12">
        <f>565.0705665*E207*F207</f>
        <v>134712.8230536</v>
      </c>
      <c r="I207" s="12">
        <f t="shared" si="19"/>
        <v>0</v>
      </c>
      <c r="J207" s="12">
        <f>13.77323136*E207*F207</f>
        <v>3283.5383562240004</v>
      </c>
      <c r="K207" s="12">
        <f>32.6321312823*E207*F207</f>
        <v>7779.50009770032</v>
      </c>
      <c r="L207" s="12">
        <f>2.893536*E207*F207</f>
        <v>689.8189824000001</v>
      </c>
      <c r="M207" s="15">
        <f t="shared" si="20"/>
        <v>149914.7754019243</v>
      </c>
    </row>
    <row r="208" spans="2:13" ht="24">
      <c r="B208" s="7">
        <v>199</v>
      </c>
      <c r="C208" s="5" t="s">
        <v>332</v>
      </c>
      <c r="D208" s="5" t="s">
        <v>333</v>
      </c>
      <c r="E208" s="9">
        <v>60</v>
      </c>
      <c r="F208" s="9">
        <v>10</v>
      </c>
      <c r="G208" s="12">
        <f>70.9988*E208*F208</f>
        <v>42599.28</v>
      </c>
      <c r="H208" s="12">
        <f>123.75*E208*F208</f>
        <v>74250</v>
      </c>
      <c r="I208" s="12">
        <f t="shared" si="19"/>
        <v>0</v>
      </c>
      <c r="J208" s="12">
        <f>67.5908576*E208*F208</f>
        <v>40554.51456</v>
      </c>
      <c r="K208" s="12">
        <f>14.428681168*E208*F208</f>
        <v>8657.2087008</v>
      </c>
      <c r="L208" s="12">
        <f>14.19976*E208*F208</f>
        <v>8519.856</v>
      </c>
      <c r="M208" s="15">
        <f t="shared" si="20"/>
        <v>174580.8592608</v>
      </c>
    </row>
    <row r="209" spans="2:13" ht="24">
      <c r="B209" s="7">
        <v>200</v>
      </c>
      <c r="C209" s="5" t="s">
        <v>334</v>
      </c>
      <c r="D209" s="5" t="s">
        <v>335</v>
      </c>
      <c r="E209" s="9">
        <v>97</v>
      </c>
      <c r="F209" s="9">
        <v>5</v>
      </c>
      <c r="G209" s="12">
        <f>8.0376*E209*F209</f>
        <v>3898.236</v>
      </c>
      <c r="H209" s="12">
        <f>0*E209*F209</f>
        <v>0</v>
      </c>
      <c r="I209" s="12">
        <f t="shared" si="19"/>
        <v>0</v>
      </c>
      <c r="J209" s="12">
        <f>7.6517952*E209*F209</f>
        <v>3711.1206719999996</v>
      </c>
      <c r="K209" s="12">
        <f>0.862916736*E209*F209</f>
        <v>418.51461696</v>
      </c>
      <c r="L209" s="12">
        <f>1.60752*E209*F209</f>
        <v>779.6472</v>
      </c>
      <c r="M209" s="15">
        <f t="shared" si="20"/>
        <v>8807.51848896</v>
      </c>
    </row>
    <row r="210" spans="2:13" ht="12">
      <c r="B210" s="7">
        <v>201</v>
      </c>
      <c r="C210" s="5" t="s">
        <v>336</v>
      </c>
      <c r="D210" s="5" t="s">
        <v>337</v>
      </c>
      <c r="E210" s="9">
        <v>321.32</v>
      </c>
      <c r="F210" s="9">
        <v>1</v>
      </c>
      <c r="G210" s="12">
        <f>222.354*E210*F210</f>
        <v>71446.78728</v>
      </c>
      <c r="H210" s="12">
        <f>0*E210*F210</f>
        <v>0</v>
      </c>
      <c r="I210" s="12">
        <f t="shared" si="19"/>
        <v>0</v>
      </c>
      <c r="J210" s="12">
        <f>211.681008*E210*F210</f>
        <v>68017.34149056</v>
      </c>
      <c r="K210" s="12">
        <f>23.87192544*E210*F210</f>
        <v>7670.5270823808</v>
      </c>
      <c r="L210" s="12">
        <f>44.4708*E210*F210</f>
        <v>14289.357455999998</v>
      </c>
      <c r="M210" s="15">
        <f t="shared" si="20"/>
        <v>161424.0133089408</v>
      </c>
    </row>
    <row r="211" spans="2:13" ht="12">
      <c r="B211" s="7">
        <v>202</v>
      </c>
      <c r="C211" s="5" t="s">
        <v>338</v>
      </c>
      <c r="D211" s="5" t="s">
        <v>339</v>
      </c>
      <c r="E211" s="9">
        <v>321.32</v>
      </c>
      <c r="F211" s="9">
        <v>1</v>
      </c>
      <c r="G211" s="12">
        <f>88.9416*E211*F211</f>
        <v>28578.714911999996</v>
      </c>
      <c r="H211" s="12">
        <f>0*E211*F211</f>
        <v>0</v>
      </c>
      <c r="I211" s="12">
        <f t="shared" si="19"/>
        <v>0</v>
      </c>
      <c r="J211" s="12">
        <f>84.6724032*E211*F211</f>
        <v>27206.936596224</v>
      </c>
      <c r="K211" s="12">
        <f>9.548770176*E211*F211</f>
        <v>3068.21083295232</v>
      </c>
      <c r="L211" s="12">
        <f>17.78832*E211*F211</f>
        <v>5715.742982399999</v>
      </c>
      <c r="M211" s="15">
        <f t="shared" si="20"/>
        <v>64569.60532357631</v>
      </c>
    </row>
    <row r="212" spans="2:13" ht="24">
      <c r="B212" s="7">
        <v>203</v>
      </c>
      <c r="C212" s="5" t="s">
        <v>340</v>
      </c>
      <c r="D212" s="5" t="s">
        <v>341</v>
      </c>
      <c r="E212" s="9">
        <v>2.384</v>
      </c>
      <c r="F212" s="9">
        <v>1</v>
      </c>
      <c r="G212" s="12">
        <f>0*E212*F212</f>
        <v>0</v>
      </c>
      <c r="H212" s="12">
        <f>0*E212*F212</f>
        <v>0</v>
      </c>
      <c r="I212" s="12">
        <f t="shared" si="19"/>
        <v>0</v>
      </c>
      <c r="J212" s="12">
        <f>0*E212*F212</f>
        <v>0</v>
      </c>
      <c r="K212" s="12">
        <f>0*E212*F212</f>
        <v>0</v>
      </c>
      <c r="L212" s="12">
        <f>0*E212*F212</f>
        <v>0</v>
      </c>
      <c r="M212" s="15">
        <f t="shared" si="20"/>
        <v>0</v>
      </c>
    </row>
    <row r="213" spans="2:13" ht="24">
      <c r="B213" s="7">
        <v>204</v>
      </c>
      <c r="C213" s="5" t="s">
        <v>342</v>
      </c>
      <c r="D213" s="5" t="s">
        <v>341</v>
      </c>
      <c r="E213" s="9">
        <v>2.384</v>
      </c>
      <c r="F213" s="9">
        <v>1</v>
      </c>
      <c r="G213" s="12">
        <f>0*E213*F213</f>
        <v>0</v>
      </c>
      <c r="H213" s="12">
        <f>0*E213*F213</f>
        <v>0</v>
      </c>
      <c r="I213" s="12">
        <f t="shared" si="19"/>
        <v>0</v>
      </c>
      <c r="J213" s="12">
        <f>0*E213*F213</f>
        <v>0</v>
      </c>
      <c r="K213" s="12">
        <f>0*E213*F213</f>
        <v>0</v>
      </c>
      <c r="L213" s="12">
        <f>0*E213*F213</f>
        <v>0</v>
      </c>
      <c r="M213" s="15">
        <f t="shared" si="20"/>
        <v>0</v>
      </c>
    </row>
    <row r="214" spans="2:13" ht="24">
      <c r="B214" s="7">
        <v>205</v>
      </c>
      <c r="C214" s="5" t="s">
        <v>343</v>
      </c>
      <c r="D214" s="5" t="s">
        <v>344</v>
      </c>
      <c r="E214" s="9">
        <v>14.55</v>
      </c>
      <c r="F214" s="9">
        <v>108</v>
      </c>
      <c r="G214" s="12">
        <f>92.4324*E214*F214</f>
        <v>145248.27336000002</v>
      </c>
      <c r="H214" s="12">
        <f>0.638055*E214*F214</f>
        <v>1002.6396270000001</v>
      </c>
      <c r="I214" s="12">
        <f t="shared" si="19"/>
        <v>0</v>
      </c>
      <c r="J214" s="12">
        <f>87.9956448*E214*F214</f>
        <v>138276.35623871998</v>
      </c>
      <c r="K214" s="12">
        <f>9.958635489*E214*F214</f>
        <v>15648.9998074146</v>
      </c>
      <c r="L214" s="12">
        <f>18.48648*E214*F214</f>
        <v>29049.654672000004</v>
      </c>
      <c r="M214" s="15">
        <f t="shared" si="20"/>
        <v>329225.92370513454</v>
      </c>
    </row>
    <row r="215" spans="2:13" ht="24">
      <c r="B215" s="7">
        <v>206</v>
      </c>
      <c r="C215" s="5" t="s">
        <v>345</v>
      </c>
      <c r="D215" s="5" t="s">
        <v>344</v>
      </c>
      <c r="E215" s="9">
        <v>14.55</v>
      </c>
      <c r="F215" s="9">
        <v>144</v>
      </c>
      <c r="G215" s="12">
        <f>17.0799*E215*F215</f>
        <v>35785.80648</v>
      </c>
      <c r="H215" s="12">
        <f>0.287892*E215*F215</f>
        <v>603.1913184</v>
      </c>
      <c r="I215" s="12">
        <f t="shared" si="19"/>
        <v>0</v>
      </c>
      <c r="J215" s="12">
        <f>16.2600648*E215*F215</f>
        <v>34068.08776896</v>
      </c>
      <c r="K215" s="12">
        <f>1.849532124*E215*F215</f>
        <v>3875.1397062048004</v>
      </c>
      <c r="L215" s="12">
        <f>3.41598*E215*F215</f>
        <v>7157.161296</v>
      </c>
      <c r="M215" s="15">
        <f t="shared" si="20"/>
        <v>81489.38656956481</v>
      </c>
    </row>
    <row r="216" spans="2:13" ht="24">
      <c r="B216" s="7">
        <v>207</v>
      </c>
      <c r="C216" s="5" t="s">
        <v>346</v>
      </c>
      <c r="D216" s="5" t="s">
        <v>347</v>
      </c>
      <c r="E216" s="9">
        <v>97</v>
      </c>
      <c r="F216" s="9">
        <v>7</v>
      </c>
      <c r="G216" s="12">
        <f>35.03054*E216*F216</f>
        <v>23785.736660000002</v>
      </c>
      <c r="H216" s="12">
        <f>0.16302726*E216*F216</f>
        <v>110.69550954</v>
      </c>
      <c r="I216" s="12">
        <f t="shared" si="19"/>
        <v>0</v>
      </c>
      <c r="J216" s="12">
        <f>33.34907408*E216*F216</f>
        <v>22644.02130032</v>
      </c>
      <c r="K216" s="12">
        <f>3.7698452737*E216*F216</f>
        <v>2559.7249408423004</v>
      </c>
      <c r="L216" s="12">
        <f>7.006108*E216*F216</f>
        <v>4757.1473320000005</v>
      </c>
      <c r="M216" s="15">
        <f t="shared" si="20"/>
        <v>53857.325742702305</v>
      </c>
    </row>
    <row r="217" spans="2:13" ht="12">
      <c r="B217" s="7">
        <v>208</v>
      </c>
      <c r="C217" s="5" t="s">
        <v>348</v>
      </c>
      <c r="D217" s="5" t="s">
        <v>344</v>
      </c>
      <c r="E217" s="9">
        <v>1.2</v>
      </c>
      <c r="F217" s="9">
        <v>108</v>
      </c>
      <c r="G217" s="12">
        <f>401.88*E217*F217</f>
        <v>52083.647999999994</v>
      </c>
      <c r="H217" s="12">
        <f>1.86318*E217*F217</f>
        <v>241.46812799999998</v>
      </c>
      <c r="I217" s="12">
        <f t="shared" si="19"/>
        <v>0</v>
      </c>
      <c r="J217" s="12">
        <f>382.58976*E217*F217</f>
        <v>49583.632895999996</v>
      </c>
      <c r="K217" s="12">
        <f>43.2483117*E217*F217</f>
        <v>5604.98119632</v>
      </c>
      <c r="L217" s="12">
        <f>80.376*E217*F217</f>
        <v>10416.7296</v>
      </c>
      <c r="M217" s="15">
        <f t="shared" si="20"/>
        <v>117930.45982032</v>
      </c>
    </row>
    <row r="218" spans="2:13" ht="12">
      <c r="B218" s="7">
        <v>209</v>
      </c>
      <c r="C218" s="5" t="s">
        <v>349</v>
      </c>
      <c r="D218" s="5" t="s">
        <v>350</v>
      </c>
      <c r="E218" s="9">
        <v>1.2</v>
      </c>
      <c r="F218" s="9">
        <v>144</v>
      </c>
      <c r="G218" s="12">
        <f>162.7614*E218*F218</f>
        <v>28125.16992</v>
      </c>
      <c r="H218" s="12">
        <f>1.00584*E218*F218</f>
        <v>173.809152</v>
      </c>
      <c r="I218" s="12">
        <f t="shared" si="19"/>
        <v>0</v>
      </c>
      <c r="J218" s="12">
        <f>154.9488528*E218*F218</f>
        <v>26775.16176384</v>
      </c>
      <c r="K218" s="12">
        <f>17.529385104*E218*F218</f>
        <v>3029.0777459712</v>
      </c>
      <c r="L218" s="12">
        <f>32.55228*E218*F218</f>
        <v>5625.033984</v>
      </c>
      <c r="M218" s="15">
        <f t="shared" si="20"/>
        <v>63728.2525658112</v>
      </c>
    </row>
    <row r="219" spans="2:13" ht="12">
      <c r="B219" s="7">
        <v>210</v>
      </c>
      <c r="C219" s="5" t="s">
        <v>351</v>
      </c>
      <c r="D219" s="5" t="s">
        <v>352</v>
      </c>
      <c r="E219" s="9">
        <v>0.9</v>
      </c>
      <c r="F219" s="9">
        <v>4</v>
      </c>
      <c r="G219" s="12">
        <f>5224.44*E219*F219</f>
        <v>18807.984</v>
      </c>
      <c r="H219" s="12">
        <f>4317.109236*E219*F219</f>
        <v>15541.5932496</v>
      </c>
      <c r="I219" s="12">
        <f t="shared" si="19"/>
        <v>0</v>
      </c>
      <c r="J219" s="12">
        <f>4973.66688*E219*F219</f>
        <v>17905.200768</v>
      </c>
      <c r="K219" s="12">
        <f>798.33688638*E219*F219</f>
        <v>2874.012790968</v>
      </c>
      <c r="L219" s="12">
        <f>1044.888*E219*F219</f>
        <v>3761.5968</v>
      </c>
      <c r="M219" s="15">
        <f t="shared" si="20"/>
        <v>58890.387608567995</v>
      </c>
    </row>
    <row r="220" spans="2:13" ht="12">
      <c r="B220" s="7">
        <v>211</v>
      </c>
      <c r="C220" s="5" t="s">
        <v>353</v>
      </c>
      <c r="D220" s="5" t="s">
        <v>113</v>
      </c>
      <c r="E220" s="9">
        <v>18</v>
      </c>
      <c r="F220" s="9">
        <v>2</v>
      </c>
      <c r="G220" s="12">
        <f>158.57944554991*E220*F220</f>
        <v>5708.860039796759</v>
      </c>
      <c r="H220" s="12">
        <f>3473.37541386*E220*F220</f>
        <v>125041.51489896001</v>
      </c>
      <c r="I220" s="12">
        <f t="shared" si="19"/>
        <v>0</v>
      </c>
      <c r="J220" s="12">
        <f>150.96763216351*E220*F220</f>
        <v>5434.8347578863595</v>
      </c>
      <c r="K220" s="12">
        <f>208.06073703654*E220*F220</f>
        <v>7490.18653331544</v>
      </c>
      <c r="L220" s="12">
        <f>31.715889109982*E220*F220</f>
        <v>1141.772007959352</v>
      </c>
      <c r="M220" s="15">
        <f t="shared" si="20"/>
        <v>144817.16823791788</v>
      </c>
    </row>
    <row r="221" spans="2:13" ht="12.75">
      <c r="B221" s="73" t="s">
        <v>110</v>
      </c>
      <c r="C221" s="74"/>
      <c r="D221" s="74"/>
      <c r="E221" s="74"/>
      <c r="F221" s="74"/>
      <c r="G221" s="13">
        <f aca="true" t="shared" si="21" ref="G221:M221">SUM(G157:G220)</f>
        <v>9572637.828053864</v>
      </c>
      <c r="H221" s="13">
        <f t="shared" si="21"/>
        <v>1418922.7677305518</v>
      </c>
      <c r="I221" s="13">
        <f t="shared" si="21"/>
        <v>0</v>
      </c>
      <c r="J221" s="13">
        <f t="shared" si="21"/>
        <v>9113151.212307284</v>
      </c>
      <c r="K221" s="13">
        <f t="shared" si="21"/>
        <v>1105759.1494450434</v>
      </c>
      <c r="L221" s="13">
        <f t="shared" si="21"/>
        <v>1914527.5656107736</v>
      </c>
      <c r="M221" s="16">
        <f t="shared" si="21"/>
        <v>23124998.523147516</v>
      </c>
    </row>
    <row r="222" spans="2:13" ht="27.75" customHeight="1">
      <c r="B222" s="75" t="s">
        <v>354</v>
      </c>
      <c r="C222" s="76"/>
      <c r="D222" s="76"/>
      <c r="E222" s="76"/>
      <c r="F222" s="76"/>
      <c r="G222" s="17">
        <f aca="true" t="shared" si="22" ref="G222:M222">G61+G155+G221</f>
        <v>15276162.802680623</v>
      </c>
      <c r="H222" s="17">
        <f t="shared" si="22"/>
        <v>6159803.790022033</v>
      </c>
      <c r="I222" s="17">
        <f t="shared" si="22"/>
        <v>5389.787948100001</v>
      </c>
      <c r="J222" s="17">
        <f t="shared" si="22"/>
        <v>14544657.67933574</v>
      </c>
      <c r="K222" s="17">
        <f t="shared" si="22"/>
        <v>1979230.773299256</v>
      </c>
      <c r="L222" s="17">
        <f t="shared" si="22"/>
        <v>3055600.3528016256</v>
      </c>
      <c r="M222" s="18">
        <f t="shared" si="22"/>
        <v>41020845.18608738</v>
      </c>
    </row>
    <row r="226" spans="3:13" ht="18">
      <c r="C226" s="77" t="s">
        <v>355</v>
      </c>
      <c r="D226" s="77"/>
      <c r="E226" s="77"/>
      <c r="F226" s="77"/>
      <c r="G226" s="77"/>
      <c r="H226" s="77"/>
      <c r="I226" s="77"/>
      <c r="J226" s="77"/>
      <c r="K226" s="77"/>
      <c r="L226" s="77"/>
      <c r="M226" s="77"/>
    </row>
    <row r="227" spans="3:11" ht="19.5" customHeight="1">
      <c r="C227" s="78" t="s">
        <v>356</v>
      </c>
      <c r="D227" s="67"/>
      <c r="E227" s="79">
        <f>G222</f>
        <v>15276162.802680623</v>
      </c>
      <c r="F227" s="67"/>
      <c r="G227" s="78" t="s">
        <v>357</v>
      </c>
      <c r="H227" s="67"/>
      <c r="I227" s="67"/>
      <c r="J227" s="79">
        <f>J222</f>
        <v>14544657.67933574</v>
      </c>
      <c r="K227" s="67"/>
    </row>
    <row r="228" spans="3:11" ht="19.5" customHeight="1">
      <c r="C228" s="78" t="s">
        <v>358</v>
      </c>
      <c r="D228" s="67"/>
      <c r="E228" s="79">
        <f>H222</f>
        <v>6159803.790022033</v>
      </c>
      <c r="F228" s="67"/>
      <c r="G228" s="78" t="s">
        <v>359</v>
      </c>
      <c r="H228" s="67"/>
      <c r="I228" s="67"/>
      <c r="J228" s="79">
        <f>K222</f>
        <v>1979230.773299256</v>
      </c>
      <c r="K228" s="67"/>
    </row>
    <row r="229" spans="3:11" ht="19.5" customHeight="1">
      <c r="C229" s="78" t="s">
        <v>360</v>
      </c>
      <c r="D229" s="67"/>
      <c r="E229" s="79">
        <f>I222</f>
        <v>5389.787948100001</v>
      </c>
      <c r="F229" s="67"/>
      <c r="G229" s="78" t="s">
        <v>361</v>
      </c>
      <c r="H229" s="67"/>
      <c r="I229" s="67"/>
      <c r="J229" s="79">
        <f>L222</f>
        <v>3055600.3528016256</v>
      </c>
      <c r="K229" s="67"/>
    </row>
    <row r="230" spans="3:11" ht="15">
      <c r="C230" s="19"/>
      <c r="E230" s="20"/>
      <c r="G230" s="78" t="s">
        <v>362</v>
      </c>
      <c r="H230" s="67"/>
      <c r="I230" s="67"/>
      <c r="J230" s="79">
        <f>M222</f>
        <v>41020845.18608738</v>
      </c>
      <c r="K230" s="67"/>
    </row>
  </sheetData>
  <sheetProtection formatCells="0" formatColumns="0" formatRows="0" insertColumns="0" insertRows="0" insertHyperlinks="0" deleteColumns="0" deleteRows="0" sort="0" autoFilter="0" pivotTables="0"/>
  <mergeCells count="24">
    <mergeCell ref="G230:I230"/>
    <mergeCell ref="J230:K230"/>
    <mergeCell ref="C228:D228"/>
    <mergeCell ref="E228:F228"/>
    <mergeCell ref="G228:I228"/>
    <mergeCell ref="J228:K228"/>
    <mergeCell ref="C229:D229"/>
    <mergeCell ref="E229:F229"/>
    <mergeCell ref="G229:I229"/>
    <mergeCell ref="J229:K229"/>
    <mergeCell ref="B156:M156"/>
    <mergeCell ref="B221:F221"/>
    <mergeCell ref="B222:F222"/>
    <mergeCell ref="C226:M226"/>
    <mergeCell ref="C227:D227"/>
    <mergeCell ref="E227:F227"/>
    <mergeCell ref="G227:I227"/>
    <mergeCell ref="J227:K227"/>
    <mergeCell ref="B1:M1"/>
    <mergeCell ref="B4:M4"/>
    <mergeCell ref="B5:M5"/>
    <mergeCell ref="B61:F61"/>
    <mergeCell ref="B62:M62"/>
    <mergeCell ref="B155:F155"/>
  </mergeCells>
  <printOptions/>
  <pageMargins left="0.35" right="0.35" top="0.35" bottom="0.35" header="0.3" footer="0.3"/>
  <pageSetup fitToHeight="0" fitToWidth="1" horizontalDpi="600" verticalDpi="600" orientation="landscape" paperSize="9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40">
      <selection activeCell="G8" sqref="G8"/>
    </sheetView>
  </sheetViews>
  <sheetFormatPr defaultColWidth="9.140625" defaultRowHeight="12"/>
  <cols>
    <col min="2" max="2" width="34.8515625" style="0" customWidth="1"/>
    <col min="3" max="3" width="19.8515625" style="0" customWidth="1"/>
    <col min="4" max="4" width="12.00390625" style="0" customWidth="1"/>
  </cols>
  <sheetData>
    <row r="1" spans="1:4" ht="15.75" customHeight="1">
      <c r="A1" s="55"/>
      <c r="B1" s="90" t="s">
        <v>787</v>
      </c>
      <c r="C1" s="90"/>
      <c r="D1" s="90"/>
    </row>
    <row r="2" spans="1:4" ht="15.75">
      <c r="A2" s="55"/>
      <c r="B2" s="90"/>
      <c r="C2" s="90"/>
      <c r="D2" s="90"/>
    </row>
    <row r="3" spans="1:4" ht="15.75">
      <c r="A3" s="85" t="s">
        <v>808</v>
      </c>
      <c r="B3" s="85"/>
      <c r="C3" s="85"/>
      <c r="D3" s="85"/>
    </row>
    <row r="4" spans="1:4" ht="63" customHeight="1">
      <c r="A4" s="61"/>
      <c r="B4" s="87" t="s">
        <v>809</v>
      </c>
      <c r="C4" s="87"/>
      <c r="D4" s="87"/>
    </row>
    <row r="5" spans="1:4" ht="12.75">
      <c r="A5" s="36" t="s">
        <v>705</v>
      </c>
      <c r="B5" s="36" t="s">
        <v>14</v>
      </c>
      <c r="C5" s="38"/>
      <c r="D5" s="54">
        <f>D6+D7+D8+D9+D10+D11</f>
        <v>1.6800000000000002</v>
      </c>
    </row>
    <row r="6" spans="1:4" ht="25.5">
      <c r="A6" s="36"/>
      <c r="B6" s="38" t="s">
        <v>706</v>
      </c>
      <c r="C6" s="38" t="s">
        <v>707</v>
      </c>
      <c r="D6" s="42">
        <v>0.15</v>
      </c>
    </row>
    <row r="7" spans="1:4" ht="25.5">
      <c r="A7" s="36"/>
      <c r="B7" s="38" t="s">
        <v>708</v>
      </c>
      <c r="C7" s="38" t="s">
        <v>707</v>
      </c>
      <c r="D7" s="42">
        <v>0.61</v>
      </c>
    </row>
    <row r="8" spans="1:4" ht="25.5">
      <c r="A8" s="36"/>
      <c r="B8" s="38" t="s">
        <v>709</v>
      </c>
      <c r="C8" s="38" t="s">
        <v>707</v>
      </c>
      <c r="D8" s="42">
        <v>0.51</v>
      </c>
    </row>
    <row r="9" spans="1:4" ht="25.5">
      <c r="A9" s="36"/>
      <c r="B9" s="38" t="s">
        <v>710</v>
      </c>
      <c r="C9" s="38" t="s">
        <v>707</v>
      </c>
      <c r="D9" s="42">
        <v>0.24</v>
      </c>
    </row>
    <row r="10" spans="1:4" ht="25.5">
      <c r="A10" s="36"/>
      <c r="B10" s="38" t="s">
        <v>711</v>
      </c>
      <c r="C10" s="38" t="s">
        <v>707</v>
      </c>
      <c r="D10" s="42">
        <v>0.13</v>
      </c>
    </row>
    <row r="11" spans="1:4" ht="25.5">
      <c r="A11" s="36"/>
      <c r="B11" s="38" t="s">
        <v>790</v>
      </c>
      <c r="C11" s="38" t="s">
        <v>707</v>
      </c>
      <c r="D11" s="42">
        <v>0.04</v>
      </c>
    </row>
    <row r="12" spans="1:4" ht="25.5">
      <c r="A12" s="36" t="s">
        <v>712</v>
      </c>
      <c r="B12" s="36" t="s">
        <v>111</v>
      </c>
      <c r="C12" s="38" t="s">
        <v>707</v>
      </c>
      <c r="D12" s="54">
        <f>D13+D14+D15+D16</f>
        <v>2.29</v>
      </c>
    </row>
    <row r="13" spans="1:4" ht="25.5">
      <c r="A13" s="36"/>
      <c r="B13" s="38" t="s">
        <v>713</v>
      </c>
      <c r="C13" s="38" t="s">
        <v>707</v>
      </c>
      <c r="D13" s="42">
        <v>0.77</v>
      </c>
    </row>
    <row r="14" spans="1:4" ht="25.5">
      <c r="A14" s="36"/>
      <c r="B14" s="38" t="s">
        <v>714</v>
      </c>
      <c r="C14" s="38" t="s">
        <v>707</v>
      </c>
      <c r="D14" s="42">
        <v>0.83</v>
      </c>
    </row>
    <row r="15" spans="1:4" ht="25.5">
      <c r="A15" s="36"/>
      <c r="B15" s="38" t="s">
        <v>715</v>
      </c>
      <c r="C15" s="38" t="s">
        <v>707</v>
      </c>
      <c r="D15" s="42">
        <v>0.34</v>
      </c>
    </row>
    <row r="16" spans="1:4" ht="25.5">
      <c r="A16" s="36"/>
      <c r="B16" s="38" t="s">
        <v>716</v>
      </c>
      <c r="C16" s="38" t="s">
        <v>707</v>
      </c>
      <c r="D16" s="42">
        <v>0.35</v>
      </c>
    </row>
    <row r="17" spans="1:4" ht="25.5">
      <c r="A17" s="36" t="s">
        <v>717</v>
      </c>
      <c r="B17" s="36" t="s">
        <v>718</v>
      </c>
      <c r="C17" s="38" t="s">
        <v>719</v>
      </c>
      <c r="D17" s="52">
        <v>1.08</v>
      </c>
    </row>
    <row r="18" spans="1:4" ht="25.5">
      <c r="A18" s="36" t="s">
        <v>720</v>
      </c>
      <c r="B18" s="36" t="s">
        <v>721</v>
      </c>
      <c r="C18" s="38"/>
      <c r="D18" s="53">
        <f>D19+D26+D30+D45</f>
        <v>3.57</v>
      </c>
    </row>
    <row r="19" spans="1:4" ht="12.75">
      <c r="A19" s="36"/>
      <c r="B19" s="36" t="s">
        <v>722</v>
      </c>
      <c r="C19" s="38"/>
      <c r="D19" s="43">
        <f>D20+D21+D22+D23+D24+D25</f>
        <v>1.35</v>
      </c>
    </row>
    <row r="20" spans="1:4" ht="38.25">
      <c r="A20" s="36"/>
      <c r="B20" s="38" t="s">
        <v>723</v>
      </c>
      <c r="C20" s="38" t="s">
        <v>724</v>
      </c>
      <c r="D20" s="40">
        <v>0.36</v>
      </c>
    </row>
    <row r="21" spans="1:4" ht="38.25">
      <c r="A21" s="36"/>
      <c r="B21" s="38" t="s">
        <v>725</v>
      </c>
      <c r="C21" s="38" t="s">
        <v>776</v>
      </c>
      <c r="D21" s="40">
        <v>0.55</v>
      </c>
    </row>
    <row r="22" spans="1:4" ht="25.5">
      <c r="A22" s="36"/>
      <c r="B22" s="38" t="s">
        <v>727</v>
      </c>
      <c r="C22" s="38" t="s">
        <v>724</v>
      </c>
      <c r="D22" s="40">
        <v>0</v>
      </c>
    </row>
    <row r="23" spans="1:4" ht="25.5">
      <c r="A23" s="36"/>
      <c r="B23" s="38" t="s">
        <v>728</v>
      </c>
      <c r="C23" s="38" t="s">
        <v>729</v>
      </c>
      <c r="D23" s="40">
        <v>0.22</v>
      </c>
    </row>
    <row r="24" spans="1:4" ht="25.5">
      <c r="A24" s="36"/>
      <c r="B24" s="38" t="s">
        <v>730</v>
      </c>
      <c r="C24" s="38" t="s">
        <v>731</v>
      </c>
      <c r="D24" s="40">
        <v>0.22</v>
      </c>
    </row>
    <row r="25" spans="1:4" ht="12.75">
      <c r="A25" s="36"/>
      <c r="B25" s="38" t="s">
        <v>732</v>
      </c>
      <c r="C25" s="38" t="s">
        <v>729</v>
      </c>
      <c r="D25" s="40">
        <v>0</v>
      </c>
    </row>
    <row r="26" spans="1:4" ht="12.75">
      <c r="A26" s="36"/>
      <c r="B26" s="36" t="s">
        <v>733</v>
      </c>
      <c r="C26" s="38"/>
      <c r="D26" s="43">
        <v>0</v>
      </c>
    </row>
    <row r="27" spans="1:4" ht="25.5">
      <c r="A27" s="36"/>
      <c r="B27" s="38" t="s">
        <v>734</v>
      </c>
      <c r="C27" s="38" t="s">
        <v>803</v>
      </c>
      <c r="D27" s="40">
        <v>0</v>
      </c>
    </row>
    <row r="28" spans="1:4" ht="25.5">
      <c r="A28" s="36"/>
      <c r="B28" s="38" t="s">
        <v>735</v>
      </c>
      <c r="C28" s="38" t="s">
        <v>803</v>
      </c>
      <c r="D28" s="40">
        <v>0</v>
      </c>
    </row>
    <row r="29" spans="1:4" ht="38.25">
      <c r="A29" s="36"/>
      <c r="B29" s="38" t="s">
        <v>777</v>
      </c>
      <c r="C29" s="38" t="s">
        <v>731</v>
      </c>
      <c r="D29" s="40">
        <v>0</v>
      </c>
    </row>
    <row r="30" spans="1:4" ht="12.75">
      <c r="A30" s="36"/>
      <c r="B30" s="36" t="s">
        <v>736</v>
      </c>
      <c r="C30" s="38"/>
      <c r="D30" s="43">
        <v>2.05</v>
      </c>
    </row>
    <row r="31" spans="1:4" ht="38.25">
      <c r="A31" s="36"/>
      <c r="B31" s="38" t="s">
        <v>737</v>
      </c>
      <c r="C31" s="38" t="s">
        <v>724</v>
      </c>
      <c r="D31" s="48">
        <v>0.47</v>
      </c>
    </row>
    <row r="32" spans="1:4" ht="25.5">
      <c r="A32" s="36"/>
      <c r="B32" s="38" t="s">
        <v>738</v>
      </c>
      <c r="C32" s="38" t="s">
        <v>739</v>
      </c>
      <c r="D32" s="45">
        <v>0.38</v>
      </c>
    </row>
    <row r="33" spans="1:4" ht="25.5">
      <c r="A33" s="36"/>
      <c r="B33" s="38" t="s">
        <v>781</v>
      </c>
      <c r="C33" s="38" t="s">
        <v>783</v>
      </c>
      <c r="D33" s="45">
        <v>0.07</v>
      </c>
    </row>
    <row r="34" spans="1:4" ht="25.5">
      <c r="A34" s="36"/>
      <c r="B34" s="38" t="s">
        <v>780</v>
      </c>
      <c r="C34" s="38" t="s">
        <v>724</v>
      </c>
      <c r="D34" s="45">
        <v>0.02</v>
      </c>
    </row>
    <row r="35" spans="1:4" ht="51">
      <c r="A35" s="36"/>
      <c r="B35" s="38" t="s">
        <v>740</v>
      </c>
      <c r="C35" s="38" t="s">
        <v>724</v>
      </c>
      <c r="D35" s="45">
        <v>0.44</v>
      </c>
    </row>
    <row r="36" spans="1:4" ht="25.5">
      <c r="A36" s="36"/>
      <c r="B36" s="38" t="s">
        <v>741</v>
      </c>
      <c r="C36" s="38" t="s">
        <v>784</v>
      </c>
      <c r="D36" s="45">
        <v>0.11</v>
      </c>
    </row>
    <row r="37" spans="1:4" ht="38.25">
      <c r="A37" s="36"/>
      <c r="B37" s="38" t="s">
        <v>742</v>
      </c>
      <c r="C37" s="38" t="s">
        <v>743</v>
      </c>
      <c r="D37" s="45">
        <v>0.15</v>
      </c>
    </row>
    <row r="38" spans="1:4" ht="38.25">
      <c r="A38" s="36"/>
      <c r="B38" s="38" t="s">
        <v>744</v>
      </c>
      <c r="C38" s="38" t="s">
        <v>743</v>
      </c>
      <c r="D38" s="45">
        <v>0.03</v>
      </c>
    </row>
    <row r="39" spans="1:4" ht="38.25">
      <c r="A39" s="36"/>
      <c r="B39" s="38" t="s">
        <v>343</v>
      </c>
      <c r="C39" s="38" t="s">
        <v>724</v>
      </c>
      <c r="D39" s="45">
        <v>0.05</v>
      </c>
    </row>
    <row r="40" spans="1:4" ht="25.5">
      <c r="A40" s="36"/>
      <c r="B40" s="38" t="s">
        <v>345</v>
      </c>
      <c r="C40" s="38" t="s">
        <v>724</v>
      </c>
      <c r="D40" s="45">
        <v>0.02</v>
      </c>
    </row>
    <row r="41" spans="1:4" ht="25.5">
      <c r="A41" s="36"/>
      <c r="B41" s="38" t="s">
        <v>348</v>
      </c>
      <c r="C41" s="38" t="s">
        <v>724</v>
      </c>
      <c r="D41" s="45">
        <v>0.04</v>
      </c>
    </row>
    <row r="42" spans="1:4" ht="12.75">
      <c r="A42" s="36"/>
      <c r="B42" s="38" t="s">
        <v>786</v>
      </c>
      <c r="C42" s="38" t="s">
        <v>785</v>
      </c>
      <c r="D42" s="45">
        <v>0.04</v>
      </c>
    </row>
    <row r="43" spans="1:4" ht="25.5">
      <c r="A43" s="36"/>
      <c r="B43" s="38" t="s">
        <v>745</v>
      </c>
      <c r="C43" s="38" t="s">
        <v>743</v>
      </c>
      <c r="D43" s="45">
        <v>0.05</v>
      </c>
    </row>
    <row r="44" spans="1:4" ht="25.5">
      <c r="A44" s="36"/>
      <c r="B44" t="s">
        <v>782</v>
      </c>
      <c r="C44" s="38" t="s">
        <v>743</v>
      </c>
      <c r="D44" s="45">
        <v>0.18</v>
      </c>
    </row>
    <row r="45" spans="1:4" ht="12.75">
      <c r="A45" s="36"/>
      <c r="B45" s="36" t="s">
        <v>746</v>
      </c>
      <c r="C45" s="38" t="s">
        <v>747</v>
      </c>
      <c r="D45" s="49">
        <v>0.17</v>
      </c>
    </row>
    <row r="46" spans="1:4" ht="12.75">
      <c r="A46" s="36" t="s">
        <v>748</v>
      </c>
      <c r="B46" s="36" t="s">
        <v>749</v>
      </c>
      <c r="C46" s="38" t="s">
        <v>726</v>
      </c>
      <c r="D46" s="46">
        <v>0.6</v>
      </c>
    </row>
    <row r="47" spans="1:4" ht="25.5">
      <c r="A47" s="36" t="s">
        <v>750</v>
      </c>
      <c r="B47" s="36" t="s">
        <v>751</v>
      </c>
      <c r="C47" s="38" t="s">
        <v>752</v>
      </c>
      <c r="D47" s="47">
        <v>1.9</v>
      </c>
    </row>
    <row r="48" spans="1:4" ht="12.75">
      <c r="A48" s="36" t="s">
        <v>753</v>
      </c>
      <c r="B48" s="36" t="s">
        <v>754</v>
      </c>
      <c r="C48" s="38" t="s">
        <v>755</v>
      </c>
      <c r="D48" s="47">
        <v>0.2</v>
      </c>
    </row>
    <row r="49" spans="1:4" ht="25.5">
      <c r="A49" s="36" t="s">
        <v>756</v>
      </c>
      <c r="B49" s="36" t="s">
        <v>757</v>
      </c>
      <c r="C49" s="38" t="s">
        <v>743</v>
      </c>
      <c r="D49" s="47">
        <v>0.09</v>
      </c>
    </row>
    <row r="50" spans="1:4" ht="25.5">
      <c r="A50" s="36" t="s">
        <v>758</v>
      </c>
      <c r="B50" s="36" t="s">
        <v>759</v>
      </c>
      <c r="C50" s="38" t="s">
        <v>747</v>
      </c>
      <c r="D50" s="50">
        <v>0.18</v>
      </c>
    </row>
    <row r="51" spans="1:4" ht="12.75">
      <c r="A51" s="36" t="s">
        <v>760</v>
      </c>
      <c r="B51" s="36" t="s">
        <v>761</v>
      </c>
      <c r="C51" s="38" t="s">
        <v>762</v>
      </c>
      <c r="D51" s="50">
        <v>1.15</v>
      </c>
    </row>
    <row r="52" spans="1:4" ht="12.75">
      <c r="A52" s="36" t="s">
        <v>763</v>
      </c>
      <c r="B52" s="39" t="s">
        <v>764</v>
      </c>
      <c r="C52" s="38" t="s">
        <v>755</v>
      </c>
      <c r="D52" s="47">
        <v>0.06</v>
      </c>
    </row>
    <row r="53" spans="1:4" ht="12.75">
      <c r="A53" s="36" t="s">
        <v>765</v>
      </c>
      <c r="B53" s="36" t="s">
        <v>766</v>
      </c>
      <c r="C53" s="38" t="s">
        <v>762</v>
      </c>
      <c r="D53" s="47">
        <v>0</v>
      </c>
    </row>
    <row r="54" spans="1:4" ht="12.75">
      <c r="A54" s="36" t="s">
        <v>767</v>
      </c>
      <c r="B54" s="36" t="s">
        <v>768</v>
      </c>
      <c r="C54" s="38"/>
      <c r="D54" s="47">
        <v>1.6</v>
      </c>
    </row>
    <row r="55" spans="1:4" ht="12.75">
      <c r="A55" s="36" t="s">
        <v>769</v>
      </c>
      <c r="B55" s="36" t="s">
        <v>771</v>
      </c>
      <c r="C55" s="38"/>
      <c r="D55" s="47">
        <v>0.95</v>
      </c>
    </row>
    <row r="56" spans="1:4" ht="12.75">
      <c r="A56" s="36"/>
      <c r="B56" s="36" t="s">
        <v>770</v>
      </c>
      <c r="C56" s="38"/>
      <c r="D56" s="51">
        <f>D5+D12+D17+D18+D46+D47+D48+D49+D50+D51+D52+D53+D54+D55</f>
        <v>15.35</v>
      </c>
    </row>
  </sheetData>
  <sheetProtection/>
  <mergeCells count="3">
    <mergeCell ref="A3:D3"/>
    <mergeCell ref="B1:D2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7"/>
  <sheetViews>
    <sheetView tabSelected="1" zoomScalePageLayoutView="0" workbookViewId="0" topLeftCell="A1">
      <selection activeCell="H8" sqref="H8"/>
    </sheetView>
  </sheetViews>
  <sheetFormatPr defaultColWidth="9.140625" defaultRowHeight="12"/>
  <cols>
    <col min="2" max="2" width="32.57421875" style="0" customWidth="1"/>
    <col min="3" max="3" width="23.57421875" style="0" customWidth="1"/>
  </cols>
  <sheetData>
    <row r="1" spans="1:4" ht="15.75">
      <c r="A1" s="55"/>
      <c r="B1" s="86" t="s">
        <v>787</v>
      </c>
      <c r="C1" s="86"/>
      <c r="D1" s="86"/>
    </row>
    <row r="2" spans="1:4" ht="15.75">
      <c r="A2" s="55"/>
      <c r="B2" s="86"/>
      <c r="C2" s="86"/>
      <c r="D2" s="86"/>
    </row>
    <row r="3" spans="1:4" ht="15.75">
      <c r="A3" s="85" t="s">
        <v>702</v>
      </c>
      <c r="B3" s="85"/>
      <c r="C3" s="85"/>
      <c r="D3" s="85"/>
    </row>
    <row r="4" spans="1:4" ht="15.75">
      <c r="A4" s="59"/>
      <c r="B4" s="89" t="s">
        <v>814</v>
      </c>
      <c r="C4" s="89"/>
      <c r="D4" s="59"/>
    </row>
    <row r="5" spans="1:4" ht="42.75">
      <c r="A5" s="36"/>
      <c r="B5" s="37" t="s">
        <v>2</v>
      </c>
      <c r="C5" s="37" t="s">
        <v>794</v>
      </c>
      <c r="D5" s="37" t="s">
        <v>793</v>
      </c>
    </row>
    <row r="6" spans="1:4" ht="12.75">
      <c r="A6" s="36" t="s">
        <v>705</v>
      </c>
      <c r="B6" s="36" t="s">
        <v>14</v>
      </c>
      <c r="C6" s="38"/>
      <c r="D6" s="54">
        <f>D7+D8+D9+D10+D11+D12</f>
        <v>1.48</v>
      </c>
    </row>
    <row r="7" spans="1:4" ht="12.75">
      <c r="A7" s="36"/>
      <c r="B7" s="38" t="s">
        <v>706</v>
      </c>
      <c r="C7" s="38" t="s">
        <v>707</v>
      </c>
      <c r="D7" s="42">
        <v>0.15</v>
      </c>
    </row>
    <row r="8" spans="1:4" ht="12.75">
      <c r="A8" s="36"/>
      <c r="B8" s="38" t="s">
        <v>708</v>
      </c>
      <c r="C8" s="38" t="s">
        <v>707</v>
      </c>
      <c r="D8" s="42">
        <v>0.51</v>
      </c>
    </row>
    <row r="9" spans="1:4" ht="12.75">
      <c r="A9" s="36"/>
      <c r="B9" s="38" t="s">
        <v>709</v>
      </c>
      <c r="C9" s="38" t="s">
        <v>707</v>
      </c>
      <c r="D9" s="42">
        <v>0.51</v>
      </c>
    </row>
    <row r="10" spans="1:4" ht="12.75">
      <c r="A10" s="36"/>
      <c r="B10" s="38" t="s">
        <v>710</v>
      </c>
      <c r="C10" s="38" t="s">
        <v>707</v>
      </c>
      <c r="D10" s="42">
        <v>0.14</v>
      </c>
    </row>
    <row r="11" spans="1:4" ht="12.75">
      <c r="A11" s="36"/>
      <c r="B11" s="38" t="s">
        <v>711</v>
      </c>
      <c r="C11" s="38" t="s">
        <v>707</v>
      </c>
      <c r="D11" s="42">
        <v>0.13</v>
      </c>
    </row>
    <row r="12" spans="1:4" ht="25.5">
      <c r="A12" s="36"/>
      <c r="B12" s="38" t="s">
        <v>788</v>
      </c>
      <c r="C12" s="38" t="s">
        <v>707</v>
      </c>
      <c r="D12" s="42">
        <v>0.04</v>
      </c>
    </row>
    <row r="13" spans="1:4" ht="38.25">
      <c r="A13" s="36" t="s">
        <v>712</v>
      </c>
      <c r="B13" s="36" t="s">
        <v>111</v>
      </c>
      <c r="C13" s="38" t="s">
        <v>707</v>
      </c>
      <c r="D13" s="54">
        <f>D14+D15+D16+D17</f>
        <v>1.8900000000000001</v>
      </c>
    </row>
    <row r="14" spans="1:4" ht="12.75">
      <c r="A14" s="36"/>
      <c r="B14" s="38" t="s">
        <v>713</v>
      </c>
      <c r="C14" s="38" t="s">
        <v>707</v>
      </c>
      <c r="D14" s="42">
        <v>0.57</v>
      </c>
    </row>
    <row r="15" spans="1:4" ht="25.5">
      <c r="A15" s="36"/>
      <c r="B15" s="38" t="s">
        <v>714</v>
      </c>
      <c r="C15" s="38" t="s">
        <v>707</v>
      </c>
      <c r="D15" s="42">
        <v>0.63</v>
      </c>
    </row>
    <row r="16" spans="1:4" ht="12.75">
      <c r="A16" s="36"/>
      <c r="B16" s="38" t="s">
        <v>715</v>
      </c>
      <c r="C16" s="38" t="s">
        <v>707</v>
      </c>
      <c r="D16" s="42">
        <v>0.34</v>
      </c>
    </row>
    <row r="17" spans="1:4" ht="12.75">
      <c r="A17" s="36"/>
      <c r="B17" s="38" t="s">
        <v>716</v>
      </c>
      <c r="C17" s="38" t="s">
        <v>707</v>
      </c>
      <c r="D17" s="42">
        <v>0.35</v>
      </c>
    </row>
    <row r="18" spans="1:4" ht="38.25">
      <c r="A18" s="36" t="s">
        <v>717</v>
      </c>
      <c r="B18" s="36" t="s">
        <v>718</v>
      </c>
      <c r="C18" s="38" t="s">
        <v>719</v>
      </c>
      <c r="D18" s="52">
        <v>1.08</v>
      </c>
    </row>
    <row r="19" spans="1:4" ht="25.5">
      <c r="A19" s="36" t="s">
        <v>720</v>
      </c>
      <c r="B19" s="36" t="s">
        <v>721</v>
      </c>
      <c r="C19" s="38"/>
      <c r="D19" s="53">
        <f>D20+D27+D31+D46</f>
        <v>3.4700000000000006</v>
      </c>
    </row>
    <row r="20" spans="1:4" ht="12.75">
      <c r="A20" s="36"/>
      <c r="B20" s="36" t="s">
        <v>722</v>
      </c>
      <c r="C20" s="38"/>
      <c r="D20" s="43">
        <v>1.05</v>
      </c>
    </row>
    <row r="21" spans="1:4" ht="38.25">
      <c r="A21" s="36"/>
      <c r="B21" s="38" t="s">
        <v>723</v>
      </c>
      <c r="C21" s="38" t="s">
        <v>739</v>
      </c>
      <c r="D21" s="40">
        <v>0.22</v>
      </c>
    </row>
    <row r="22" spans="1:4" ht="38.25">
      <c r="A22" s="36"/>
      <c r="B22" s="38" t="s">
        <v>725</v>
      </c>
      <c r="C22" s="38" t="s">
        <v>776</v>
      </c>
      <c r="D22" s="40">
        <v>0.32</v>
      </c>
    </row>
    <row r="23" spans="1:4" ht="25.5">
      <c r="A23" s="36"/>
      <c r="B23" s="38" t="s">
        <v>727</v>
      </c>
      <c r="C23" s="38" t="s">
        <v>724</v>
      </c>
      <c r="D23" s="40">
        <v>0.04</v>
      </c>
    </row>
    <row r="24" spans="1:4" ht="25.5">
      <c r="A24" s="36"/>
      <c r="B24" s="38" t="s">
        <v>728</v>
      </c>
      <c r="C24" s="38" t="s">
        <v>729</v>
      </c>
      <c r="D24" s="40">
        <v>0.22</v>
      </c>
    </row>
    <row r="25" spans="1:4" ht="25.5">
      <c r="A25" s="36"/>
      <c r="B25" s="38" t="s">
        <v>730</v>
      </c>
      <c r="C25" s="38" t="s">
        <v>731</v>
      </c>
      <c r="D25" s="40">
        <v>0.22</v>
      </c>
    </row>
    <row r="26" spans="1:4" ht="12.75">
      <c r="A26" s="36"/>
      <c r="B26" s="38" t="s">
        <v>732</v>
      </c>
      <c r="C26" s="38" t="s">
        <v>729</v>
      </c>
      <c r="D26" s="40">
        <v>0.03</v>
      </c>
    </row>
    <row r="27" spans="1:4" ht="12.75">
      <c r="A27" s="36"/>
      <c r="B27" s="36" t="s">
        <v>733</v>
      </c>
      <c r="C27" s="38"/>
      <c r="D27" s="43">
        <f>D28+D29+D30</f>
        <v>0.8</v>
      </c>
    </row>
    <row r="28" spans="1:4" ht="25.5">
      <c r="A28" s="36"/>
      <c r="B28" s="38" t="s">
        <v>734</v>
      </c>
      <c r="C28" s="38" t="s">
        <v>803</v>
      </c>
      <c r="D28" s="40">
        <v>0.55</v>
      </c>
    </row>
    <row r="29" spans="1:4" ht="25.5">
      <c r="A29" s="36"/>
      <c r="B29" s="38" t="s">
        <v>735</v>
      </c>
      <c r="C29" s="38" t="s">
        <v>803</v>
      </c>
      <c r="D29" s="40">
        <v>0.22</v>
      </c>
    </row>
    <row r="30" spans="1:4" ht="38.25">
      <c r="A30" s="36"/>
      <c r="B30" s="38" t="s">
        <v>777</v>
      </c>
      <c r="C30" s="38" t="s">
        <v>731</v>
      </c>
      <c r="D30" s="40">
        <v>0.03</v>
      </c>
    </row>
    <row r="31" spans="1:4" ht="12.75">
      <c r="A31" s="36"/>
      <c r="B31" s="36" t="s">
        <v>736</v>
      </c>
      <c r="C31" s="38"/>
      <c r="D31" s="60">
        <f>D32+D33+D34+D35+D36+D37+D38+D39+D40+D41+D42+D43+D44+D45</f>
        <v>1.5200000000000005</v>
      </c>
    </row>
    <row r="32" spans="1:4" ht="38.25">
      <c r="A32" s="36"/>
      <c r="B32" s="38" t="s">
        <v>737</v>
      </c>
      <c r="C32" s="38" t="s">
        <v>739</v>
      </c>
      <c r="D32" s="48">
        <v>0.37</v>
      </c>
    </row>
    <row r="33" spans="1:4" ht="25.5">
      <c r="A33" s="36"/>
      <c r="B33" s="38" t="s">
        <v>738</v>
      </c>
      <c r="C33" s="38" t="s">
        <v>739</v>
      </c>
      <c r="D33" s="45">
        <v>0.28</v>
      </c>
    </row>
    <row r="34" spans="1:4" ht="25.5">
      <c r="A34" s="36"/>
      <c r="B34" s="38" t="s">
        <v>781</v>
      </c>
      <c r="C34" s="38" t="s">
        <v>783</v>
      </c>
      <c r="D34" s="45">
        <v>0.07</v>
      </c>
    </row>
    <row r="35" spans="1:4" ht="25.5">
      <c r="A35" s="36"/>
      <c r="B35" s="38" t="s">
        <v>780</v>
      </c>
      <c r="C35" s="38" t="s">
        <v>724</v>
      </c>
      <c r="D35" s="45">
        <v>0.02</v>
      </c>
    </row>
    <row r="36" spans="1:4" ht="51">
      <c r="A36" s="36"/>
      <c r="B36" s="38" t="s">
        <v>740</v>
      </c>
      <c r="C36" s="38" t="s">
        <v>739</v>
      </c>
      <c r="D36" s="45">
        <v>0.34</v>
      </c>
    </row>
    <row r="37" spans="1:4" ht="25.5">
      <c r="A37" s="36"/>
      <c r="B37" s="38" t="s">
        <v>741</v>
      </c>
      <c r="C37" s="38" t="s">
        <v>784</v>
      </c>
      <c r="D37" s="45">
        <v>0.05</v>
      </c>
    </row>
    <row r="38" spans="1:4" ht="38.25">
      <c r="A38" s="36"/>
      <c r="B38" s="38" t="s">
        <v>742</v>
      </c>
      <c r="C38" s="38" t="s">
        <v>743</v>
      </c>
      <c r="D38" s="45">
        <v>0.1</v>
      </c>
    </row>
    <row r="39" spans="1:4" ht="38.25">
      <c r="A39" s="36"/>
      <c r="B39" s="38" t="s">
        <v>744</v>
      </c>
      <c r="C39" s="38" t="s">
        <v>743</v>
      </c>
      <c r="D39" s="45">
        <v>0</v>
      </c>
    </row>
    <row r="40" spans="1:4" ht="38.25">
      <c r="A40" s="36"/>
      <c r="B40" s="38" t="s">
        <v>343</v>
      </c>
      <c r="C40" s="38" t="s">
        <v>724</v>
      </c>
      <c r="D40" s="45">
        <v>0.05</v>
      </c>
    </row>
    <row r="41" spans="1:4" ht="38.25">
      <c r="A41" s="36"/>
      <c r="B41" s="38" t="s">
        <v>345</v>
      </c>
      <c r="C41" s="38" t="s">
        <v>724</v>
      </c>
      <c r="D41" s="45">
        <v>0.02</v>
      </c>
    </row>
    <row r="42" spans="1:4" ht="25.5">
      <c r="A42" s="36"/>
      <c r="B42" s="38" t="s">
        <v>348</v>
      </c>
      <c r="C42" s="38" t="s">
        <v>724</v>
      </c>
      <c r="D42" s="45">
        <v>0.04</v>
      </c>
    </row>
    <row r="43" spans="1:4" ht="12.75">
      <c r="A43" s="36"/>
      <c r="B43" s="38" t="s">
        <v>786</v>
      </c>
      <c r="C43" s="38" t="s">
        <v>785</v>
      </c>
      <c r="D43" s="45">
        <v>0.04</v>
      </c>
    </row>
    <row r="44" spans="1:4" ht="12.75">
      <c r="A44" s="36"/>
      <c r="B44" s="38" t="s">
        <v>745</v>
      </c>
      <c r="C44" s="38" t="s">
        <v>743</v>
      </c>
      <c r="D44" s="45">
        <v>0.05</v>
      </c>
    </row>
    <row r="45" spans="1:4" ht="24">
      <c r="A45" s="36"/>
      <c r="B45" t="s">
        <v>782</v>
      </c>
      <c r="C45" s="38" t="s">
        <v>743</v>
      </c>
      <c r="D45" s="45">
        <v>0.09</v>
      </c>
    </row>
    <row r="46" spans="1:4" ht="12.75">
      <c r="A46" s="36"/>
      <c r="B46" s="36" t="s">
        <v>746</v>
      </c>
      <c r="C46" s="38" t="s">
        <v>747</v>
      </c>
      <c r="D46" s="49">
        <v>0.1</v>
      </c>
    </row>
    <row r="47" spans="1:4" ht="12.75">
      <c r="A47" s="36" t="s">
        <v>748</v>
      </c>
      <c r="B47" s="36" t="s">
        <v>749</v>
      </c>
      <c r="C47" s="38" t="s">
        <v>726</v>
      </c>
      <c r="D47" s="46">
        <v>0.6</v>
      </c>
    </row>
    <row r="48" spans="1:4" ht="25.5">
      <c r="A48" s="36" t="s">
        <v>750</v>
      </c>
      <c r="B48" s="36" t="s">
        <v>751</v>
      </c>
      <c r="C48" s="38" t="s">
        <v>752</v>
      </c>
      <c r="D48" s="47">
        <v>1.75</v>
      </c>
    </row>
    <row r="49" spans="1:4" ht="12.75">
      <c r="A49" s="36" t="s">
        <v>753</v>
      </c>
      <c r="B49" s="36" t="s">
        <v>754</v>
      </c>
      <c r="C49" s="38" t="s">
        <v>755</v>
      </c>
      <c r="D49" s="47">
        <v>0.2</v>
      </c>
    </row>
    <row r="50" spans="1:4" ht="12.75">
      <c r="A50" s="36" t="s">
        <v>756</v>
      </c>
      <c r="B50" s="36" t="s">
        <v>757</v>
      </c>
      <c r="C50" s="38" t="s">
        <v>743</v>
      </c>
      <c r="D50" s="47">
        <v>0.09</v>
      </c>
    </row>
    <row r="51" spans="1:4" ht="25.5">
      <c r="A51" s="36" t="s">
        <v>758</v>
      </c>
      <c r="B51" s="36" t="s">
        <v>759</v>
      </c>
      <c r="C51" s="38" t="s">
        <v>747</v>
      </c>
      <c r="D51" s="50">
        <v>0.18</v>
      </c>
    </row>
    <row r="52" spans="1:4" ht="25.5">
      <c r="A52" s="36" t="s">
        <v>760</v>
      </c>
      <c r="B52" s="36" t="s">
        <v>761</v>
      </c>
      <c r="C52" s="38" t="s">
        <v>762</v>
      </c>
      <c r="D52" s="50">
        <v>1.05</v>
      </c>
    </row>
    <row r="53" spans="1:4" ht="12.75">
      <c r="A53" s="36" t="s">
        <v>763</v>
      </c>
      <c r="B53" s="39" t="s">
        <v>764</v>
      </c>
      <c r="C53" s="38" t="s">
        <v>755</v>
      </c>
      <c r="D53" s="47">
        <v>0.06</v>
      </c>
    </row>
    <row r="54" spans="1:4" ht="12.75">
      <c r="A54" s="36" t="s">
        <v>765</v>
      </c>
      <c r="B54" s="36" t="s">
        <v>766</v>
      </c>
      <c r="C54" s="38" t="s">
        <v>762</v>
      </c>
      <c r="D54" s="47">
        <v>2.75</v>
      </c>
    </row>
    <row r="55" spans="1:4" ht="12.75">
      <c r="A55" s="36" t="s">
        <v>767</v>
      </c>
      <c r="B55" s="36" t="s">
        <v>768</v>
      </c>
      <c r="C55" s="38"/>
      <c r="D55" s="47">
        <v>1.5</v>
      </c>
    </row>
    <row r="56" spans="1:4" ht="12.75">
      <c r="A56" s="36" t="s">
        <v>769</v>
      </c>
      <c r="B56" s="36" t="s">
        <v>771</v>
      </c>
      <c r="C56" s="38"/>
      <c r="D56" s="47">
        <v>0.9</v>
      </c>
    </row>
    <row r="57" spans="1:4" ht="12.75">
      <c r="A57" s="36"/>
      <c r="B57" s="36" t="s">
        <v>770</v>
      </c>
      <c r="C57" s="38"/>
      <c r="D57" s="51">
        <f>D6+D13+D18+D19+D47+D48+D49+D50+D51+D52+D53+D54+D55+D56</f>
        <v>17</v>
      </c>
    </row>
  </sheetData>
  <sheetProtection/>
  <mergeCells count="3">
    <mergeCell ref="B1:D2"/>
    <mergeCell ref="A3:D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0">
      <selection activeCell="F8" sqref="F8"/>
    </sheetView>
  </sheetViews>
  <sheetFormatPr defaultColWidth="9.140625" defaultRowHeight="12"/>
  <cols>
    <col min="1" max="1" width="4.00390625" style="0" customWidth="1"/>
    <col min="2" max="2" width="51.140625" style="0" customWidth="1"/>
    <col min="3" max="3" width="18.421875" style="0" customWidth="1"/>
    <col min="4" max="4" width="22.00390625" style="0" customWidth="1"/>
  </cols>
  <sheetData>
    <row r="1" spans="1:4" ht="15.75">
      <c r="A1" s="55"/>
      <c r="B1" s="86" t="s">
        <v>787</v>
      </c>
      <c r="C1" s="86"/>
      <c r="D1" s="86"/>
    </row>
    <row r="2" spans="1:4" ht="15.75">
      <c r="A2" s="55"/>
      <c r="B2" s="86"/>
      <c r="C2" s="86"/>
      <c r="D2" s="86"/>
    </row>
    <row r="3" spans="1:4" ht="15.75">
      <c r="A3" s="85" t="s">
        <v>702</v>
      </c>
      <c r="B3" s="85"/>
      <c r="C3" s="85"/>
      <c r="D3" s="85"/>
    </row>
    <row r="4" spans="1:4" ht="15.75">
      <c r="A4" s="62"/>
      <c r="B4" s="89" t="s">
        <v>810</v>
      </c>
      <c r="C4" s="89"/>
      <c r="D4" s="62"/>
    </row>
    <row r="5" spans="1:4" ht="28.5">
      <c r="A5" s="36"/>
      <c r="B5" s="37" t="s">
        <v>2</v>
      </c>
      <c r="C5" s="37" t="s">
        <v>794</v>
      </c>
      <c r="D5" s="37" t="s">
        <v>793</v>
      </c>
    </row>
    <row r="6" spans="1:4" ht="12.75">
      <c r="A6" s="36" t="s">
        <v>705</v>
      </c>
      <c r="B6" s="36" t="s">
        <v>14</v>
      </c>
      <c r="C6" s="38"/>
      <c r="D6" s="54">
        <f>D7+D8+D9+D10+D11+D12</f>
        <v>1.48</v>
      </c>
    </row>
    <row r="7" spans="1:4" ht="25.5">
      <c r="A7" s="36"/>
      <c r="B7" s="38" t="s">
        <v>706</v>
      </c>
      <c r="C7" s="38" t="s">
        <v>707</v>
      </c>
      <c r="D7" s="42">
        <v>0.15</v>
      </c>
    </row>
    <row r="8" spans="1:4" ht="25.5">
      <c r="A8" s="36"/>
      <c r="B8" s="38" t="s">
        <v>708</v>
      </c>
      <c r="C8" s="38" t="s">
        <v>707</v>
      </c>
      <c r="D8" s="42">
        <v>0.51</v>
      </c>
    </row>
    <row r="9" spans="1:4" ht="25.5">
      <c r="A9" s="36"/>
      <c r="B9" s="38" t="s">
        <v>709</v>
      </c>
      <c r="C9" s="38" t="s">
        <v>707</v>
      </c>
      <c r="D9" s="42">
        <v>0.51</v>
      </c>
    </row>
    <row r="10" spans="1:4" ht="25.5">
      <c r="A10" s="36"/>
      <c r="B10" s="38" t="s">
        <v>710</v>
      </c>
      <c r="C10" s="38" t="s">
        <v>707</v>
      </c>
      <c r="D10" s="42">
        <v>0.14</v>
      </c>
    </row>
    <row r="11" spans="1:4" ht="25.5">
      <c r="A11" s="36"/>
      <c r="B11" s="38" t="s">
        <v>711</v>
      </c>
      <c r="C11" s="38" t="s">
        <v>707</v>
      </c>
      <c r="D11" s="42">
        <v>0.13</v>
      </c>
    </row>
    <row r="12" spans="1:4" ht="25.5">
      <c r="A12" s="36"/>
      <c r="B12" s="38" t="s">
        <v>788</v>
      </c>
      <c r="C12" s="38" t="s">
        <v>707</v>
      </c>
      <c r="D12" s="42">
        <v>0.04</v>
      </c>
    </row>
    <row r="13" spans="1:4" ht="25.5">
      <c r="A13" s="36" t="s">
        <v>712</v>
      </c>
      <c r="B13" s="36" t="s">
        <v>111</v>
      </c>
      <c r="C13" s="38" t="s">
        <v>707</v>
      </c>
      <c r="D13" s="54">
        <f>D14+D15+D16+D17</f>
        <v>1.8900000000000001</v>
      </c>
    </row>
    <row r="14" spans="1:4" ht="25.5">
      <c r="A14" s="36"/>
      <c r="B14" s="38" t="s">
        <v>713</v>
      </c>
      <c r="C14" s="38" t="s">
        <v>707</v>
      </c>
      <c r="D14" s="42">
        <v>0.57</v>
      </c>
    </row>
    <row r="15" spans="1:4" ht="25.5">
      <c r="A15" s="36"/>
      <c r="B15" s="38" t="s">
        <v>714</v>
      </c>
      <c r="C15" s="38" t="s">
        <v>707</v>
      </c>
      <c r="D15" s="42">
        <v>0.63</v>
      </c>
    </row>
    <row r="16" spans="1:4" ht="25.5">
      <c r="A16" s="36"/>
      <c r="B16" s="38" t="s">
        <v>715</v>
      </c>
      <c r="C16" s="38" t="s">
        <v>707</v>
      </c>
      <c r="D16" s="42">
        <v>0.34</v>
      </c>
    </row>
    <row r="17" spans="1:4" ht="25.5">
      <c r="A17" s="36"/>
      <c r="B17" s="38" t="s">
        <v>716</v>
      </c>
      <c r="C17" s="38" t="s">
        <v>707</v>
      </c>
      <c r="D17" s="42">
        <v>0.35</v>
      </c>
    </row>
    <row r="18" spans="1:4" ht="25.5">
      <c r="A18" s="36" t="s">
        <v>717</v>
      </c>
      <c r="B18" s="36" t="s">
        <v>718</v>
      </c>
      <c r="C18" s="38" t="s">
        <v>719</v>
      </c>
      <c r="D18" s="52">
        <v>1.08</v>
      </c>
    </row>
    <row r="19" spans="1:4" ht="25.5">
      <c r="A19" s="36" t="s">
        <v>720</v>
      </c>
      <c r="B19" s="36" t="s">
        <v>721</v>
      </c>
      <c r="C19" s="38"/>
      <c r="D19" s="53">
        <f>D20+D27+D31+D46</f>
        <v>3.47</v>
      </c>
    </row>
    <row r="20" spans="1:4" ht="12.75">
      <c r="A20" s="36"/>
      <c r="B20" s="36" t="s">
        <v>722</v>
      </c>
      <c r="C20" s="38"/>
      <c r="D20" s="43">
        <v>1.35</v>
      </c>
    </row>
    <row r="21" spans="1:4" ht="45.75" customHeight="1">
      <c r="A21" s="36"/>
      <c r="B21" s="38" t="s">
        <v>723</v>
      </c>
      <c r="C21" s="38" t="s">
        <v>724</v>
      </c>
      <c r="D21" s="40">
        <v>0.32</v>
      </c>
    </row>
    <row r="22" spans="1:4" ht="25.5">
      <c r="A22" s="36"/>
      <c r="B22" s="38" t="s">
        <v>725</v>
      </c>
      <c r="C22" s="38" t="s">
        <v>811</v>
      </c>
      <c r="D22" s="40">
        <v>0.52</v>
      </c>
    </row>
    <row r="23" spans="1:4" ht="25.5">
      <c r="A23" s="36"/>
      <c r="B23" s="38" t="s">
        <v>727</v>
      </c>
      <c r="C23" s="38" t="s">
        <v>724</v>
      </c>
      <c r="D23" s="40">
        <v>0.04</v>
      </c>
    </row>
    <row r="24" spans="1:4" ht="12.75">
      <c r="A24" s="36"/>
      <c r="B24" s="38" t="s">
        <v>728</v>
      </c>
      <c r="C24" s="38" t="s">
        <v>729</v>
      </c>
      <c r="D24" s="40">
        <v>0.22</v>
      </c>
    </row>
    <row r="25" spans="1:4" ht="25.5">
      <c r="A25" s="36"/>
      <c r="B25" s="38" t="s">
        <v>730</v>
      </c>
      <c r="C25" s="38" t="s">
        <v>731</v>
      </c>
      <c r="D25" s="40">
        <v>0.22</v>
      </c>
    </row>
    <row r="26" spans="1:4" ht="12.75">
      <c r="A26" s="36"/>
      <c r="B26" s="38" t="s">
        <v>732</v>
      </c>
      <c r="C26" s="38" t="s">
        <v>729</v>
      </c>
      <c r="D26" s="40">
        <v>0.03</v>
      </c>
    </row>
    <row r="27" spans="1:4" ht="12.75">
      <c r="A27" s="36"/>
      <c r="B27" s="36" t="s">
        <v>733</v>
      </c>
      <c r="C27" s="38"/>
      <c r="D27" s="43"/>
    </row>
    <row r="28" spans="1:4" ht="12.75">
      <c r="A28" s="36"/>
      <c r="B28" s="38" t="s">
        <v>734</v>
      </c>
      <c r="C28" s="38" t="s">
        <v>803</v>
      </c>
      <c r="D28" s="40"/>
    </row>
    <row r="29" spans="1:4" ht="12.75">
      <c r="A29" s="36"/>
      <c r="B29" s="38" t="s">
        <v>735</v>
      </c>
      <c r="C29" s="38" t="s">
        <v>803</v>
      </c>
      <c r="D29" s="40"/>
    </row>
    <row r="30" spans="1:4" ht="25.5">
      <c r="A30" s="36"/>
      <c r="B30" s="38" t="s">
        <v>777</v>
      </c>
      <c r="C30" s="38" t="s">
        <v>731</v>
      </c>
      <c r="D30" s="40"/>
    </row>
    <row r="31" spans="1:4" ht="12.75">
      <c r="A31" s="36"/>
      <c r="B31" s="36" t="s">
        <v>736</v>
      </c>
      <c r="C31" s="38"/>
      <c r="D31" s="43">
        <v>2.02</v>
      </c>
    </row>
    <row r="32" spans="1:4" ht="25.5">
      <c r="A32" s="36"/>
      <c r="B32" s="38" t="s">
        <v>737</v>
      </c>
      <c r="C32" s="38" t="s">
        <v>724</v>
      </c>
      <c r="D32" s="48">
        <v>0.47</v>
      </c>
    </row>
    <row r="33" spans="1:4" ht="12.75">
      <c r="A33" s="36"/>
      <c r="B33" s="38" t="s">
        <v>738</v>
      </c>
      <c r="C33" s="38" t="s">
        <v>739</v>
      </c>
      <c r="D33" s="45">
        <v>0.38</v>
      </c>
    </row>
    <row r="34" spans="1:4" ht="12.75">
      <c r="A34" s="36"/>
      <c r="B34" s="38" t="s">
        <v>781</v>
      </c>
      <c r="C34" s="38" t="s">
        <v>783</v>
      </c>
      <c r="D34" s="45">
        <v>0.07</v>
      </c>
    </row>
    <row r="35" spans="1:4" ht="25.5">
      <c r="A35" s="36"/>
      <c r="B35" s="38" t="s">
        <v>780</v>
      </c>
      <c r="C35" s="38" t="s">
        <v>724</v>
      </c>
      <c r="D35" s="45">
        <v>0.02</v>
      </c>
    </row>
    <row r="36" spans="1:4" ht="38.25">
      <c r="A36" s="36"/>
      <c r="B36" s="38" t="s">
        <v>740</v>
      </c>
      <c r="C36" s="38" t="s">
        <v>739</v>
      </c>
      <c r="D36" s="45">
        <v>0.44</v>
      </c>
    </row>
    <row r="37" spans="1:4" ht="25.5">
      <c r="A37" s="36"/>
      <c r="B37" s="38" t="s">
        <v>741</v>
      </c>
      <c r="C37" s="38" t="s">
        <v>784</v>
      </c>
      <c r="D37" s="45">
        <v>0.11</v>
      </c>
    </row>
    <row r="38" spans="1:4" ht="25.5">
      <c r="A38" s="36"/>
      <c r="B38" s="38" t="s">
        <v>742</v>
      </c>
      <c r="C38" s="38" t="s">
        <v>743</v>
      </c>
      <c r="D38" s="45">
        <v>0.15</v>
      </c>
    </row>
    <row r="39" spans="1:4" ht="25.5">
      <c r="A39" s="36"/>
      <c r="B39" s="38" t="s">
        <v>744</v>
      </c>
      <c r="C39" s="38" t="s">
        <v>743</v>
      </c>
      <c r="D39" s="45">
        <v>0.03</v>
      </c>
    </row>
    <row r="40" spans="1:4" ht="25.5">
      <c r="A40" s="36"/>
      <c r="B40" s="38" t="s">
        <v>343</v>
      </c>
      <c r="C40" s="38" t="s">
        <v>724</v>
      </c>
      <c r="D40" s="45">
        <v>0.05</v>
      </c>
    </row>
    <row r="41" spans="1:4" ht="25.5">
      <c r="A41" s="36"/>
      <c r="B41" s="38" t="s">
        <v>345</v>
      </c>
      <c r="C41" s="38" t="s">
        <v>724</v>
      </c>
      <c r="D41" s="45">
        <v>0.02</v>
      </c>
    </row>
    <row r="42" spans="1:4" ht="12.75">
      <c r="A42" s="36"/>
      <c r="B42" s="38" t="s">
        <v>348</v>
      </c>
      <c r="C42" s="38" t="s">
        <v>724</v>
      </c>
      <c r="D42" s="45">
        <v>0.04</v>
      </c>
    </row>
    <row r="43" spans="1:4" ht="12.75">
      <c r="A43" s="36"/>
      <c r="B43" s="38" t="s">
        <v>786</v>
      </c>
      <c r="C43" s="38" t="s">
        <v>785</v>
      </c>
      <c r="D43" s="45">
        <v>0.04</v>
      </c>
    </row>
    <row r="44" spans="1:4" ht="25.5">
      <c r="A44" s="36"/>
      <c r="B44" s="38" t="s">
        <v>745</v>
      </c>
      <c r="C44" s="38" t="s">
        <v>743</v>
      </c>
      <c r="D44" s="45">
        <v>0.05</v>
      </c>
    </row>
    <row r="45" spans="1:4" ht="25.5">
      <c r="A45" s="36"/>
      <c r="B45" t="s">
        <v>782</v>
      </c>
      <c r="C45" s="38" t="s">
        <v>743</v>
      </c>
      <c r="D45" s="45">
        <v>0.15</v>
      </c>
    </row>
    <row r="46" spans="1:4" ht="12.75">
      <c r="A46" s="36"/>
      <c r="B46" s="36" t="s">
        <v>746</v>
      </c>
      <c r="C46" s="38" t="s">
        <v>747</v>
      </c>
      <c r="D46" s="49">
        <v>0.1</v>
      </c>
    </row>
    <row r="47" spans="1:4" ht="12.75">
      <c r="A47" s="36" t="s">
        <v>748</v>
      </c>
      <c r="B47" s="36" t="s">
        <v>749</v>
      </c>
      <c r="C47" s="38" t="s">
        <v>726</v>
      </c>
      <c r="D47" s="46">
        <v>0.6</v>
      </c>
    </row>
    <row r="48" spans="1:4" ht="12.75">
      <c r="A48" s="36" t="s">
        <v>750</v>
      </c>
      <c r="B48" s="36" t="s">
        <v>751</v>
      </c>
      <c r="C48" s="38" t="s">
        <v>752</v>
      </c>
      <c r="D48" s="47">
        <v>1.75</v>
      </c>
    </row>
    <row r="49" spans="1:4" ht="12.75">
      <c r="A49" s="36" t="s">
        <v>753</v>
      </c>
      <c r="B49" s="36" t="s">
        <v>754</v>
      </c>
      <c r="C49" s="38" t="s">
        <v>755</v>
      </c>
      <c r="D49" s="47">
        <v>0.2</v>
      </c>
    </row>
    <row r="50" spans="1:4" ht="25.5">
      <c r="A50" s="36" t="s">
        <v>756</v>
      </c>
      <c r="B50" s="36" t="s">
        <v>757</v>
      </c>
      <c r="C50" s="38" t="s">
        <v>743</v>
      </c>
      <c r="D50" s="47">
        <v>0.09</v>
      </c>
    </row>
    <row r="51" spans="1:4" ht="25.5">
      <c r="A51" s="36" t="s">
        <v>758</v>
      </c>
      <c r="B51" s="36" t="s">
        <v>759</v>
      </c>
      <c r="C51" s="38" t="s">
        <v>747</v>
      </c>
      <c r="D51" s="50">
        <v>0.18</v>
      </c>
    </row>
    <row r="52" spans="1:4" ht="12.75">
      <c r="A52" s="36" t="s">
        <v>760</v>
      </c>
      <c r="B52" s="36" t="s">
        <v>761</v>
      </c>
      <c r="C52" s="38" t="s">
        <v>762</v>
      </c>
      <c r="D52" s="50">
        <v>1.05</v>
      </c>
    </row>
    <row r="53" spans="1:4" ht="12.75">
      <c r="A53" s="36" t="s">
        <v>763</v>
      </c>
      <c r="B53" s="39" t="s">
        <v>764</v>
      </c>
      <c r="C53" s="38" t="s">
        <v>755</v>
      </c>
      <c r="D53" s="47">
        <v>0.06</v>
      </c>
    </row>
    <row r="54" spans="1:4" ht="12.75">
      <c r="A54" s="36" t="s">
        <v>765</v>
      </c>
      <c r="B54" s="36" t="s">
        <v>766</v>
      </c>
      <c r="C54" s="38" t="s">
        <v>762</v>
      </c>
      <c r="D54" s="47">
        <v>2.75</v>
      </c>
    </row>
    <row r="55" spans="1:4" ht="12.75">
      <c r="A55" s="36" t="s">
        <v>767</v>
      </c>
      <c r="B55" s="36" t="s">
        <v>768</v>
      </c>
      <c r="C55" s="38"/>
      <c r="D55" s="47">
        <v>1.5</v>
      </c>
    </row>
    <row r="56" spans="1:4" ht="12.75">
      <c r="A56" s="36" t="s">
        <v>769</v>
      </c>
      <c r="B56" s="36" t="s">
        <v>771</v>
      </c>
      <c r="C56" s="38"/>
      <c r="D56" s="47">
        <v>0.9</v>
      </c>
    </row>
    <row r="57" spans="1:4" ht="12.75">
      <c r="A57" s="36"/>
      <c r="B57" s="36" t="s">
        <v>770</v>
      </c>
      <c r="C57" s="38"/>
      <c r="D57" s="51">
        <f>D6+D13+D18+D19+D47+D48+D49+D50+D51+D52+D53+D54+D55+D56</f>
        <v>17</v>
      </c>
    </row>
  </sheetData>
  <sheetProtection/>
  <mergeCells count="3">
    <mergeCell ref="B1:D2"/>
    <mergeCell ref="A3:D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I13" sqref="I13"/>
    </sheetView>
  </sheetViews>
  <sheetFormatPr defaultColWidth="9.140625" defaultRowHeight="12"/>
  <cols>
    <col min="1" max="1" width="4.7109375" style="0" customWidth="1"/>
    <col min="2" max="2" width="36.00390625" style="0" customWidth="1"/>
    <col min="3" max="3" width="21.8515625" style="0" customWidth="1"/>
    <col min="4" max="4" width="12.7109375" style="0" customWidth="1"/>
  </cols>
  <sheetData>
    <row r="1" spans="1:4" ht="15.75">
      <c r="A1" s="55"/>
      <c r="B1" s="86" t="s">
        <v>787</v>
      </c>
      <c r="C1" s="86"/>
      <c r="D1" s="86"/>
    </row>
    <row r="2" spans="1:4" ht="15.75">
      <c r="A2" s="55"/>
      <c r="B2" s="86"/>
      <c r="C2" s="86"/>
      <c r="D2" s="86"/>
    </row>
    <row r="3" spans="1:4" ht="15.75">
      <c r="A3" s="85" t="s">
        <v>797</v>
      </c>
      <c r="B3" s="85"/>
      <c r="C3" s="85"/>
      <c r="D3" s="85"/>
    </row>
    <row r="4" spans="1:4" ht="36.75" customHeight="1">
      <c r="A4" s="64"/>
      <c r="B4" s="87" t="s">
        <v>812</v>
      </c>
      <c r="C4" s="87"/>
      <c r="D4" s="87"/>
    </row>
    <row r="5" spans="1:4" ht="28.5">
      <c r="A5" s="36"/>
      <c r="B5" s="37" t="s">
        <v>2</v>
      </c>
      <c r="C5" s="37" t="s">
        <v>794</v>
      </c>
      <c r="D5" s="37" t="s">
        <v>793</v>
      </c>
    </row>
    <row r="6" spans="1:4" ht="12.75">
      <c r="A6" s="36" t="s">
        <v>705</v>
      </c>
      <c r="B6" s="36" t="s">
        <v>14</v>
      </c>
      <c r="C6" s="38"/>
      <c r="D6" s="54">
        <f>D7+D8+D9+D10+D11+D12</f>
        <v>1.24</v>
      </c>
    </row>
    <row r="7" spans="1:4" ht="25.5">
      <c r="A7" s="36"/>
      <c r="B7" s="38" t="s">
        <v>706</v>
      </c>
      <c r="C7" s="38" t="s">
        <v>707</v>
      </c>
      <c r="D7" s="42">
        <v>0.09</v>
      </c>
    </row>
    <row r="8" spans="1:4" ht="25.5">
      <c r="A8" s="36"/>
      <c r="B8" s="38" t="s">
        <v>708</v>
      </c>
      <c r="C8" s="38" t="s">
        <v>707</v>
      </c>
      <c r="D8" s="42">
        <v>0.41</v>
      </c>
    </row>
    <row r="9" spans="1:4" ht="25.5">
      <c r="A9" s="36"/>
      <c r="B9" s="38" t="s">
        <v>709</v>
      </c>
      <c r="C9" s="38" t="s">
        <v>707</v>
      </c>
      <c r="D9" s="42">
        <v>0.51</v>
      </c>
    </row>
    <row r="10" spans="1:4" ht="25.5">
      <c r="A10" s="36"/>
      <c r="B10" s="38" t="s">
        <v>710</v>
      </c>
      <c r="C10" s="38" t="s">
        <v>707</v>
      </c>
      <c r="D10" s="42">
        <v>0.14</v>
      </c>
    </row>
    <row r="11" spans="1:4" ht="25.5">
      <c r="A11" s="36"/>
      <c r="B11" s="38" t="s">
        <v>711</v>
      </c>
      <c r="C11" s="38" t="s">
        <v>707</v>
      </c>
      <c r="D11" s="42">
        <v>0.07</v>
      </c>
    </row>
    <row r="12" spans="1:4" ht="25.5">
      <c r="A12" s="36"/>
      <c r="B12" s="38" t="s">
        <v>788</v>
      </c>
      <c r="C12" s="38" t="s">
        <v>707</v>
      </c>
      <c r="D12" s="42">
        <v>0.02</v>
      </c>
    </row>
    <row r="13" spans="1:4" ht="25.5">
      <c r="A13" s="36" t="s">
        <v>712</v>
      </c>
      <c r="B13" s="36" t="s">
        <v>111</v>
      </c>
      <c r="C13" s="38" t="s">
        <v>707</v>
      </c>
      <c r="D13" s="54">
        <v>1.69</v>
      </c>
    </row>
    <row r="14" spans="1:4" ht="25.5">
      <c r="A14" s="36"/>
      <c r="B14" s="38" t="s">
        <v>713</v>
      </c>
      <c r="C14" s="38" t="s">
        <v>707</v>
      </c>
      <c r="D14" s="42">
        <v>0.47</v>
      </c>
    </row>
    <row r="15" spans="1:4" ht="25.5">
      <c r="A15" s="36"/>
      <c r="B15" s="38" t="s">
        <v>714</v>
      </c>
      <c r="C15" s="38" t="s">
        <v>707</v>
      </c>
      <c r="D15" s="42">
        <v>0.53</v>
      </c>
    </row>
    <row r="16" spans="1:4" ht="25.5">
      <c r="A16" s="36"/>
      <c r="B16" s="38" t="s">
        <v>715</v>
      </c>
      <c r="C16" s="38" t="s">
        <v>707</v>
      </c>
      <c r="D16" s="42">
        <v>0.34</v>
      </c>
    </row>
    <row r="17" spans="1:4" ht="25.5">
      <c r="A17" s="36"/>
      <c r="B17" s="38" t="s">
        <v>716</v>
      </c>
      <c r="C17" s="38" t="s">
        <v>707</v>
      </c>
      <c r="D17" s="42">
        <v>0.35</v>
      </c>
    </row>
    <row r="18" spans="1:4" ht="25.5">
      <c r="A18" s="36" t="s">
        <v>717</v>
      </c>
      <c r="B18" s="36" t="s">
        <v>718</v>
      </c>
      <c r="C18" s="38" t="s">
        <v>719</v>
      </c>
      <c r="D18" s="52">
        <v>0.97</v>
      </c>
    </row>
    <row r="19" spans="1:4" ht="25.5">
      <c r="A19" s="36" t="s">
        <v>720</v>
      </c>
      <c r="B19" s="36" t="s">
        <v>721</v>
      </c>
      <c r="C19" s="38"/>
      <c r="D19" s="53">
        <f>D20+D27+D31+D46</f>
        <v>3.3700000000000006</v>
      </c>
    </row>
    <row r="20" spans="1:4" ht="12.75">
      <c r="A20" s="36"/>
      <c r="B20" s="36" t="s">
        <v>722</v>
      </c>
      <c r="C20" s="38"/>
      <c r="D20" s="43">
        <v>1.05</v>
      </c>
    </row>
    <row r="21" spans="1:4" ht="38.25">
      <c r="A21" s="36"/>
      <c r="B21" s="38" t="s">
        <v>723</v>
      </c>
      <c r="C21" s="38" t="s">
        <v>724</v>
      </c>
      <c r="D21" s="40">
        <v>0.22</v>
      </c>
    </row>
    <row r="22" spans="1:4" ht="38.25">
      <c r="A22" s="36"/>
      <c r="B22" s="38" t="s">
        <v>725</v>
      </c>
      <c r="C22" s="38" t="s">
        <v>776</v>
      </c>
      <c r="D22" s="40">
        <v>0.32</v>
      </c>
    </row>
    <row r="23" spans="1:4" ht="25.5">
      <c r="A23" s="36"/>
      <c r="B23" s="38" t="s">
        <v>727</v>
      </c>
      <c r="C23" s="38" t="s">
        <v>724</v>
      </c>
      <c r="D23" s="40">
        <v>0.04</v>
      </c>
    </row>
    <row r="24" spans="1:4" ht="25.5">
      <c r="A24" s="36"/>
      <c r="B24" s="38" t="s">
        <v>728</v>
      </c>
      <c r="C24" s="38" t="s">
        <v>729</v>
      </c>
      <c r="D24" s="40">
        <v>0.22</v>
      </c>
    </row>
    <row r="25" spans="1:4" ht="25.5">
      <c r="A25" s="36"/>
      <c r="B25" s="38" t="s">
        <v>730</v>
      </c>
      <c r="C25" s="38" t="s">
        <v>731</v>
      </c>
      <c r="D25" s="40">
        <v>0.22</v>
      </c>
    </row>
    <row r="26" spans="1:4" ht="12.75">
      <c r="A26" s="36"/>
      <c r="B26" s="38" t="s">
        <v>732</v>
      </c>
      <c r="C26" s="38" t="s">
        <v>729</v>
      </c>
      <c r="D26" s="40">
        <v>0.03</v>
      </c>
    </row>
    <row r="27" spans="1:4" ht="12.75">
      <c r="A27" s="36"/>
      <c r="B27" s="36" t="s">
        <v>733</v>
      </c>
      <c r="C27" s="38"/>
      <c r="D27" s="43">
        <f>D28+D29+D30</f>
        <v>0.8</v>
      </c>
    </row>
    <row r="28" spans="1:4" ht="25.5">
      <c r="A28" s="36"/>
      <c r="B28" s="38" t="s">
        <v>734</v>
      </c>
      <c r="C28" s="38" t="s">
        <v>803</v>
      </c>
      <c r="D28" s="40">
        <v>0.55</v>
      </c>
    </row>
    <row r="29" spans="1:4" ht="25.5">
      <c r="A29" s="36"/>
      <c r="B29" s="38" t="s">
        <v>735</v>
      </c>
      <c r="C29" s="38" t="s">
        <v>803</v>
      </c>
      <c r="D29" s="40">
        <v>0.22</v>
      </c>
    </row>
    <row r="30" spans="1:4" ht="38.25">
      <c r="A30" s="36"/>
      <c r="B30" s="38" t="s">
        <v>777</v>
      </c>
      <c r="C30" s="38" t="s">
        <v>731</v>
      </c>
      <c r="D30" s="40">
        <v>0.03</v>
      </c>
    </row>
    <row r="31" spans="1:4" ht="12.75">
      <c r="A31" s="36"/>
      <c r="B31" s="36" t="s">
        <v>736</v>
      </c>
      <c r="C31" s="38"/>
      <c r="D31" s="43">
        <v>1.5200000000000005</v>
      </c>
    </row>
    <row r="32" spans="1:4" ht="38.25">
      <c r="A32" s="36"/>
      <c r="B32" s="38" t="s">
        <v>737</v>
      </c>
      <c r="C32" s="38" t="s">
        <v>724</v>
      </c>
      <c r="D32" s="48">
        <v>0.37</v>
      </c>
    </row>
    <row r="33" spans="1:4" ht="25.5">
      <c r="A33" s="36"/>
      <c r="B33" s="38" t="s">
        <v>738</v>
      </c>
      <c r="C33" s="38" t="s">
        <v>739</v>
      </c>
      <c r="D33" s="45">
        <v>0.28</v>
      </c>
    </row>
    <row r="34" spans="1:4" ht="25.5">
      <c r="A34" s="36"/>
      <c r="B34" s="38" t="s">
        <v>781</v>
      </c>
      <c r="C34" s="38" t="s">
        <v>783</v>
      </c>
      <c r="D34" s="45">
        <v>0.07</v>
      </c>
    </row>
    <row r="35" spans="1:4" ht="25.5">
      <c r="A35" s="36"/>
      <c r="B35" s="38" t="s">
        <v>780</v>
      </c>
      <c r="C35" s="38" t="s">
        <v>724</v>
      </c>
      <c r="D35" s="45">
        <v>0.02</v>
      </c>
    </row>
    <row r="36" spans="1:4" ht="51">
      <c r="A36" s="36"/>
      <c r="B36" s="38" t="s">
        <v>740</v>
      </c>
      <c r="C36" s="38" t="s">
        <v>724</v>
      </c>
      <c r="D36" s="45">
        <v>0.34</v>
      </c>
    </row>
    <row r="37" spans="1:4" ht="25.5">
      <c r="A37" s="36"/>
      <c r="B37" s="38" t="s">
        <v>741</v>
      </c>
      <c r="C37" s="38" t="s">
        <v>784</v>
      </c>
      <c r="D37" s="45">
        <v>0.05</v>
      </c>
    </row>
    <row r="38" spans="1:4" ht="38.25">
      <c r="A38" s="36"/>
      <c r="B38" s="38" t="s">
        <v>742</v>
      </c>
      <c r="C38" s="38" t="s">
        <v>743</v>
      </c>
      <c r="D38" s="45">
        <v>0.1</v>
      </c>
    </row>
    <row r="39" spans="1:4" ht="25.5">
      <c r="A39" s="36"/>
      <c r="B39" s="38" t="s">
        <v>744</v>
      </c>
      <c r="C39" s="38" t="s">
        <v>743</v>
      </c>
      <c r="D39" s="45">
        <v>0</v>
      </c>
    </row>
    <row r="40" spans="1:4" ht="25.5">
      <c r="A40" s="36"/>
      <c r="B40" s="38" t="s">
        <v>343</v>
      </c>
      <c r="C40" s="38" t="s">
        <v>724</v>
      </c>
      <c r="D40" s="45">
        <v>0.05</v>
      </c>
    </row>
    <row r="41" spans="1:4" ht="25.5">
      <c r="A41" s="36"/>
      <c r="B41" s="38" t="s">
        <v>345</v>
      </c>
      <c r="C41" s="38" t="s">
        <v>724</v>
      </c>
      <c r="D41" s="45">
        <v>0.02</v>
      </c>
    </row>
    <row r="42" spans="1:4" ht="25.5">
      <c r="A42" s="36"/>
      <c r="B42" s="38" t="s">
        <v>348</v>
      </c>
      <c r="C42" s="38" t="s">
        <v>724</v>
      </c>
      <c r="D42" s="45">
        <v>0.04</v>
      </c>
    </row>
    <row r="43" spans="1:4" ht="12.75">
      <c r="A43" s="36"/>
      <c r="B43" s="38" t="s">
        <v>786</v>
      </c>
      <c r="C43" s="38" t="s">
        <v>785</v>
      </c>
      <c r="D43" s="45">
        <v>0.04</v>
      </c>
    </row>
    <row r="44" spans="1:4" ht="12.75">
      <c r="A44" s="36"/>
      <c r="B44" s="38" t="s">
        <v>745</v>
      </c>
      <c r="C44" s="38" t="s">
        <v>743</v>
      </c>
      <c r="D44" s="45">
        <v>0.05</v>
      </c>
    </row>
    <row r="45" spans="1:4" ht="24">
      <c r="A45" s="36"/>
      <c r="B45" t="s">
        <v>782</v>
      </c>
      <c r="C45" s="38" t="s">
        <v>743</v>
      </c>
      <c r="D45" s="45">
        <v>0.09</v>
      </c>
    </row>
    <row r="46" spans="1:4" ht="12.75">
      <c r="A46" s="36"/>
      <c r="B46" s="36" t="s">
        <v>746</v>
      </c>
      <c r="C46" s="38" t="s">
        <v>747</v>
      </c>
      <c r="D46" s="49">
        <v>0</v>
      </c>
    </row>
    <row r="47" spans="1:4" ht="12.75">
      <c r="A47" s="36" t="s">
        <v>748</v>
      </c>
      <c r="B47" s="36" t="s">
        <v>749</v>
      </c>
      <c r="C47" s="38" t="s">
        <v>726</v>
      </c>
      <c r="D47" s="46">
        <v>0.6</v>
      </c>
    </row>
    <row r="48" spans="1:4" ht="25.5">
      <c r="A48" s="36" t="s">
        <v>750</v>
      </c>
      <c r="B48" s="36" t="s">
        <v>751</v>
      </c>
      <c r="C48" s="38" t="s">
        <v>752</v>
      </c>
      <c r="D48" s="47">
        <v>1.75</v>
      </c>
    </row>
    <row r="49" spans="1:4" ht="12.75">
      <c r="A49" s="36" t="s">
        <v>753</v>
      </c>
      <c r="B49" s="36" t="s">
        <v>754</v>
      </c>
      <c r="C49" s="38" t="s">
        <v>755</v>
      </c>
      <c r="D49" s="47">
        <v>0.2</v>
      </c>
    </row>
    <row r="50" spans="1:4" ht="12.75">
      <c r="A50" s="36" t="s">
        <v>756</v>
      </c>
      <c r="B50" s="36" t="s">
        <v>757</v>
      </c>
      <c r="C50" s="38" t="s">
        <v>743</v>
      </c>
      <c r="D50" s="47">
        <v>0.09</v>
      </c>
    </row>
    <row r="51" spans="1:4" ht="25.5">
      <c r="A51" s="36" t="s">
        <v>758</v>
      </c>
      <c r="B51" s="36" t="s">
        <v>759</v>
      </c>
      <c r="C51" s="38" t="s">
        <v>747</v>
      </c>
      <c r="D51" s="50">
        <v>0.1</v>
      </c>
    </row>
    <row r="52" spans="1:4" ht="12.75">
      <c r="A52" s="36" t="s">
        <v>760</v>
      </c>
      <c r="B52" s="36" t="s">
        <v>761</v>
      </c>
      <c r="C52" s="38" t="s">
        <v>762</v>
      </c>
      <c r="D52" s="50">
        <v>0.9</v>
      </c>
    </row>
    <row r="53" spans="1:4" ht="12.75">
      <c r="A53" s="36" t="s">
        <v>763</v>
      </c>
      <c r="B53" s="39" t="s">
        <v>764</v>
      </c>
      <c r="C53" s="38" t="s">
        <v>755</v>
      </c>
      <c r="D53" s="47">
        <v>0.06</v>
      </c>
    </row>
    <row r="54" spans="1:4" ht="12.75">
      <c r="A54" s="36" t="s">
        <v>765</v>
      </c>
      <c r="B54" s="36" t="s">
        <v>766</v>
      </c>
      <c r="C54" s="38" t="s">
        <v>762</v>
      </c>
      <c r="D54" s="47">
        <v>2.75</v>
      </c>
    </row>
    <row r="55" spans="1:4" ht="12.75">
      <c r="A55" s="36" t="s">
        <v>767</v>
      </c>
      <c r="B55" s="36" t="s">
        <v>768</v>
      </c>
      <c r="C55" s="38"/>
      <c r="D55" s="47">
        <v>1.5</v>
      </c>
    </row>
    <row r="56" spans="1:4" ht="12.75">
      <c r="A56" s="36" t="s">
        <v>769</v>
      </c>
      <c r="B56" s="36" t="s">
        <v>771</v>
      </c>
      <c r="C56" s="38"/>
      <c r="D56" s="47">
        <v>0.85</v>
      </c>
    </row>
    <row r="57" spans="1:4" ht="12.75">
      <c r="A57" s="36"/>
      <c r="B57" s="36" t="s">
        <v>770</v>
      </c>
      <c r="C57" s="38"/>
      <c r="D57" s="51">
        <f>D6+D13+D18+D19+D47+D48+D49+D50+D51+D52+D53+D54+D55+D56</f>
        <v>16.07</v>
      </c>
    </row>
  </sheetData>
  <sheetProtection/>
  <mergeCells count="3">
    <mergeCell ref="B1:D2"/>
    <mergeCell ref="A3:D3"/>
    <mergeCell ref="B4:D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8">
      <selection activeCell="D20" sqref="D20:D26"/>
    </sheetView>
  </sheetViews>
  <sheetFormatPr defaultColWidth="9.140625" defaultRowHeight="12"/>
  <cols>
    <col min="2" max="2" width="36.00390625" style="0" customWidth="1"/>
    <col min="3" max="3" width="23.28125" style="0" customWidth="1"/>
  </cols>
  <sheetData>
    <row r="1" spans="1:4" ht="15.75">
      <c r="A1" s="55"/>
      <c r="B1" s="86" t="s">
        <v>787</v>
      </c>
      <c r="C1" s="86"/>
      <c r="D1" s="86"/>
    </row>
    <row r="2" spans="1:4" ht="15.75">
      <c r="A2" s="55"/>
      <c r="B2" s="86"/>
      <c r="C2" s="86"/>
      <c r="D2" s="86"/>
    </row>
    <row r="3" spans="1:4" ht="15.75">
      <c r="A3" s="85" t="s">
        <v>702</v>
      </c>
      <c r="B3" s="85"/>
      <c r="C3" s="85"/>
      <c r="D3" s="85"/>
    </row>
    <row r="4" spans="1:4" ht="15.75">
      <c r="A4" s="63"/>
      <c r="B4" s="89" t="s">
        <v>796</v>
      </c>
      <c r="C4" s="89"/>
      <c r="D4" s="63"/>
    </row>
    <row r="5" spans="1:4" ht="42.75">
      <c r="A5" s="36"/>
      <c r="B5" s="37" t="s">
        <v>2</v>
      </c>
      <c r="C5" s="37" t="s">
        <v>794</v>
      </c>
      <c r="D5" s="37" t="s">
        <v>793</v>
      </c>
    </row>
    <row r="6" spans="1:4" ht="12.75">
      <c r="A6" s="36" t="s">
        <v>705</v>
      </c>
      <c r="B6" s="36" t="s">
        <v>14</v>
      </c>
      <c r="C6" s="38"/>
      <c r="D6" s="54">
        <f>D7+D8+D9+D10+D11+D12</f>
        <v>0.8500000000000001</v>
      </c>
    </row>
    <row r="7" spans="1:4" ht="12.75">
      <c r="A7" s="36"/>
      <c r="B7" s="38" t="s">
        <v>706</v>
      </c>
      <c r="C7" s="38" t="s">
        <v>707</v>
      </c>
      <c r="D7" s="41">
        <v>0.05</v>
      </c>
    </row>
    <row r="8" spans="1:4" ht="12.75">
      <c r="A8" s="36"/>
      <c r="B8" s="38" t="s">
        <v>708</v>
      </c>
      <c r="C8" s="38" t="s">
        <v>707</v>
      </c>
      <c r="D8" s="41">
        <v>0.29</v>
      </c>
    </row>
    <row r="9" spans="1:4" ht="12.75">
      <c r="A9" s="36"/>
      <c r="B9" s="38" t="s">
        <v>709</v>
      </c>
      <c r="C9" s="38" t="s">
        <v>707</v>
      </c>
      <c r="D9" s="41">
        <v>0.43</v>
      </c>
    </row>
    <row r="10" spans="1:4" ht="12.75">
      <c r="A10" s="36"/>
      <c r="B10" s="38" t="s">
        <v>710</v>
      </c>
      <c r="C10" s="38" t="s">
        <v>707</v>
      </c>
      <c r="D10" s="41">
        <v>0.04</v>
      </c>
    </row>
    <row r="11" spans="1:4" ht="12.75">
      <c r="A11" s="36"/>
      <c r="B11" s="38" t="s">
        <v>711</v>
      </c>
      <c r="C11" s="38" t="s">
        <v>707</v>
      </c>
      <c r="D11" s="41">
        <v>0.03</v>
      </c>
    </row>
    <row r="12" spans="1:4" ht="12.75">
      <c r="A12" s="36"/>
      <c r="B12" s="38" t="s">
        <v>788</v>
      </c>
      <c r="C12" s="38" t="s">
        <v>707</v>
      </c>
      <c r="D12" s="41">
        <v>0.01</v>
      </c>
    </row>
    <row r="13" spans="1:4" ht="25.5">
      <c r="A13" s="36" t="s">
        <v>712</v>
      </c>
      <c r="B13" s="36" t="s">
        <v>111</v>
      </c>
      <c r="C13" s="38" t="s">
        <v>707</v>
      </c>
      <c r="D13" s="54">
        <f>D14+D15+D16+D17</f>
        <v>1.69</v>
      </c>
    </row>
    <row r="14" spans="1:4" ht="12.75">
      <c r="A14" s="36"/>
      <c r="B14" s="38" t="s">
        <v>713</v>
      </c>
      <c r="C14" s="38" t="s">
        <v>707</v>
      </c>
      <c r="D14" s="41">
        <v>0.47</v>
      </c>
    </row>
    <row r="15" spans="1:4" ht="25.5">
      <c r="A15" s="36"/>
      <c r="B15" s="38" t="s">
        <v>714</v>
      </c>
      <c r="C15" s="38" t="s">
        <v>707</v>
      </c>
      <c r="D15" s="41">
        <v>0.53</v>
      </c>
    </row>
    <row r="16" spans="1:4" ht="12.75">
      <c r="A16" s="36"/>
      <c r="B16" s="38" t="s">
        <v>715</v>
      </c>
      <c r="C16" s="38" t="s">
        <v>707</v>
      </c>
      <c r="D16" s="40">
        <v>0.34</v>
      </c>
    </row>
    <row r="17" spans="1:4" ht="12.75">
      <c r="A17" s="36"/>
      <c r="B17" s="38" t="s">
        <v>716</v>
      </c>
      <c r="C17" s="38" t="s">
        <v>707</v>
      </c>
      <c r="D17" s="40">
        <v>0.35</v>
      </c>
    </row>
    <row r="18" spans="1:4" ht="25.5">
      <c r="A18" s="36" t="s">
        <v>717</v>
      </c>
      <c r="B18" s="36" t="s">
        <v>718</v>
      </c>
      <c r="C18" s="38" t="s">
        <v>719</v>
      </c>
      <c r="D18" s="52">
        <v>0.8</v>
      </c>
    </row>
    <row r="19" spans="1:4" ht="25.5">
      <c r="A19" s="36" t="s">
        <v>720</v>
      </c>
      <c r="B19" s="36" t="s">
        <v>721</v>
      </c>
      <c r="C19" s="38"/>
      <c r="D19" s="53">
        <f>D20+D27+D31+D46</f>
        <v>3.04</v>
      </c>
    </row>
    <row r="20" spans="1:4" ht="12.75">
      <c r="A20" s="36"/>
      <c r="B20" s="36" t="s">
        <v>722</v>
      </c>
      <c r="C20" s="38"/>
      <c r="D20" s="43">
        <v>1.05</v>
      </c>
    </row>
    <row r="21" spans="1:4" ht="38.25">
      <c r="A21" s="36"/>
      <c r="B21" s="38" t="s">
        <v>723</v>
      </c>
      <c r="C21" s="38" t="s">
        <v>739</v>
      </c>
      <c r="D21" s="40">
        <v>0.22</v>
      </c>
    </row>
    <row r="22" spans="1:4" ht="38.25">
      <c r="A22" s="36"/>
      <c r="B22" s="38" t="s">
        <v>725</v>
      </c>
      <c r="C22" s="38" t="s">
        <v>776</v>
      </c>
      <c r="D22" s="40">
        <v>0.32</v>
      </c>
    </row>
    <row r="23" spans="1:4" ht="25.5">
      <c r="A23" s="36"/>
      <c r="B23" s="38" t="s">
        <v>727</v>
      </c>
      <c r="C23" s="38" t="s">
        <v>724</v>
      </c>
      <c r="D23" s="40">
        <v>0.04</v>
      </c>
    </row>
    <row r="24" spans="1:4" ht="25.5">
      <c r="A24" s="36"/>
      <c r="B24" s="38" t="s">
        <v>728</v>
      </c>
      <c r="C24" s="38" t="s">
        <v>729</v>
      </c>
      <c r="D24" s="40">
        <v>0.22</v>
      </c>
    </row>
    <row r="25" spans="1:4" ht="25.5">
      <c r="A25" s="36"/>
      <c r="B25" s="38" t="s">
        <v>730</v>
      </c>
      <c r="C25" s="38" t="s">
        <v>731</v>
      </c>
      <c r="D25" s="40">
        <v>0.22</v>
      </c>
    </row>
    <row r="26" spans="1:4" ht="12.75">
      <c r="A26" s="36"/>
      <c r="B26" s="38" t="s">
        <v>732</v>
      </c>
      <c r="C26" s="38" t="s">
        <v>729</v>
      </c>
      <c r="D26" s="40">
        <v>0.03</v>
      </c>
    </row>
    <row r="27" spans="1:4" ht="12.75">
      <c r="A27" s="36"/>
      <c r="B27" s="36" t="s">
        <v>733</v>
      </c>
      <c r="C27" s="38"/>
      <c r="D27" s="43">
        <f>D28+D29+D30</f>
        <v>0.8</v>
      </c>
    </row>
    <row r="28" spans="1:4" ht="25.5">
      <c r="A28" s="36"/>
      <c r="B28" s="38" t="s">
        <v>734</v>
      </c>
      <c r="C28" s="38" t="s">
        <v>803</v>
      </c>
      <c r="D28" s="40">
        <v>0.55</v>
      </c>
    </row>
    <row r="29" spans="1:4" ht="25.5">
      <c r="A29" s="36"/>
      <c r="B29" s="38" t="s">
        <v>735</v>
      </c>
      <c r="C29" s="38" t="s">
        <v>803</v>
      </c>
      <c r="D29" s="40">
        <v>0.22</v>
      </c>
    </row>
    <row r="30" spans="1:4" ht="38.25">
      <c r="A30" s="36"/>
      <c r="B30" s="38" t="s">
        <v>777</v>
      </c>
      <c r="C30" s="38" t="s">
        <v>731</v>
      </c>
      <c r="D30" s="40">
        <v>0.03</v>
      </c>
    </row>
    <row r="31" spans="1:4" ht="12.75">
      <c r="A31" s="36"/>
      <c r="B31" s="36" t="s">
        <v>736</v>
      </c>
      <c r="C31" s="38"/>
      <c r="D31" s="60">
        <f>D32+D33+D34+D35+D36+D37+D38+D39+D40+D41+D42+D43+D44+D45</f>
        <v>1.1900000000000002</v>
      </c>
    </row>
    <row r="32" spans="1:4" ht="38.25">
      <c r="A32" s="36"/>
      <c r="B32" s="38" t="s">
        <v>737</v>
      </c>
      <c r="C32" s="38" t="s">
        <v>739</v>
      </c>
      <c r="D32" s="48">
        <v>0.25</v>
      </c>
    </row>
    <row r="33" spans="1:4" ht="25.5">
      <c r="A33" s="36"/>
      <c r="B33" s="38" t="s">
        <v>738</v>
      </c>
      <c r="C33" s="38" t="s">
        <v>739</v>
      </c>
      <c r="D33" s="45">
        <v>0.18</v>
      </c>
    </row>
    <row r="34" spans="1:4" ht="25.5">
      <c r="A34" s="36"/>
      <c r="B34" s="38" t="s">
        <v>781</v>
      </c>
      <c r="C34" s="38" t="s">
        <v>783</v>
      </c>
      <c r="D34" s="45">
        <v>0.07</v>
      </c>
    </row>
    <row r="35" spans="1:4" ht="25.5">
      <c r="A35" s="36"/>
      <c r="B35" s="38" t="s">
        <v>780</v>
      </c>
      <c r="C35" s="38" t="s">
        <v>724</v>
      </c>
      <c r="D35" s="45">
        <v>0.02</v>
      </c>
    </row>
    <row r="36" spans="1:4" ht="51">
      <c r="A36" s="36"/>
      <c r="B36" s="38" t="s">
        <v>740</v>
      </c>
      <c r="C36" s="38" t="s">
        <v>739</v>
      </c>
      <c r="D36" s="45">
        <v>0.29</v>
      </c>
    </row>
    <row r="37" spans="1:4" ht="25.5">
      <c r="A37" s="36"/>
      <c r="B37" s="38" t="s">
        <v>741</v>
      </c>
      <c r="C37" s="38" t="s">
        <v>784</v>
      </c>
      <c r="D37" s="45">
        <v>0.05</v>
      </c>
    </row>
    <row r="38" spans="1:4" ht="38.25">
      <c r="A38" s="36"/>
      <c r="B38" s="38" t="s">
        <v>742</v>
      </c>
      <c r="C38" s="38" t="s">
        <v>743</v>
      </c>
      <c r="D38" s="45">
        <v>0.1</v>
      </c>
    </row>
    <row r="39" spans="1:4" ht="25.5">
      <c r="A39" s="36"/>
      <c r="B39" s="38" t="s">
        <v>744</v>
      </c>
      <c r="C39" s="38" t="s">
        <v>743</v>
      </c>
      <c r="D39" s="45">
        <v>0</v>
      </c>
    </row>
    <row r="40" spans="1:4" ht="25.5">
      <c r="A40" s="36"/>
      <c r="B40" s="38" t="s">
        <v>343</v>
      </c>
      <c r="C40" s="38" t="s">
        <v>724</v>
      </c>
      <c r="D40" s="45">
        <v>0.04</v>
      </c>
    </row>
    <row r="41" spans="1:4" ht="25.5">
      <c r="A41" s="36"/>
      <c r="B41" s="38" t="s">
        <v>345</v>
      </c>
      <c r="C41" s="38" t="s">
        <v>724</v>
      </c>
      <c r="D41" s="45">
        <v>0.02</v>
      </c>
    </row>
    <row r="42" spans="1:4" ht="25.5">
      <c r="A42" s="36"/>
      <c r="B42" s="38" t="s">
        <v>348</v>
      </c>
      <c r="C42" s="38" t="s">
        <v>724</v>
      </c>
      <c r="D42" s="45">
        <v>0.04</v>
      </c>
    </row>
    <row r="43" spans="1:4" ht="12.75">
      <c r="A43" s="36"/>
      <c r="B43" s="38" t="s">
        <v>786</v>
      </c>
      <c r="C43" s="38" t="s">
        <v>785</v>
      </c>
      <c r="D43" s="45">
        <v>0.04</v>
      </c>
    </row>
    <row r="44" spans="1:4" ht="12.75">
      <c r="A44" s="36"/>
      <c r="B44" s="38" t="s">
        <v>745</v>
      </c>
      <c r="C44" s="38" t="s">
        <v>743</v>
      </c>
      <c r="D44" s="45">
        <v>0.05</v>
      </c>
    </row>
    <row r="45" spans="1:4" ht="24">
      <c r="A45" s="36"/>
      <c r="B45" t="s">
        <v>782</v>
      </c>
      <c r="C45" s="38" t="s">
        <v>743</v>
      </c>
      <c r="D45" s="45">
        <v>0.04</v>
      </c>
    </row>
    <row r="46" spans="1:4" ht="12.75">
      <c r="A46" s="36"/>
      <c r="B46" s="36" t="s">
        <v>746</v>
      </c>
      <c r="C46" s="38" t="s">
        <v>747</v>
      </c>
      <c r="D46" s="49">
        <v>0</v>
      </c>
    </row>
    <row r="47" spans="1:4" ht="12.75">
      <c r="A47" s="36" t="s">
        <v>748</v>
      </c>
      <c r="B47" s="36" t="s">
        <v>749</v>
      </c>
      <c r="C47" s="38" t="s">
        <v>726</v>
      </c>
      <c r="D47" s="46">
        <v>0.6</v>
      </c>
    </row>
    <row r="48" spans="1:4" ht="25.5">
      <c r="A48" s="36" t="s">
        <v>750</v>
      </c>
      <c r="B48" s="36" t="s">
        <v>751</v>
      </c>
      <c r="C48" s="38" t="s">
        <v>752</v>
      </c>
      <c r="D48" s="47">
        <v>1.75</v>
      </c>
    </row>
    <row r="49" spans="1:4" ht="12.75">
      <c r="A49" s="36" t="s">
        <v>753</v>
      </c>
      <c r="B49" s="36" t="s">
        <v>754</v>
      </c>
      <c r="C49" s="38" t="s">
        <v>755</v>
      </c>
      <c r="D49" s="47">
        <v>0.2</v>
      </c>
    </row>
    <row r="50" spans="1:4" ht="12.75">
      <c r="A50" s="36" t="s">
        <v>756</v>
      </c>
      <c r="B50" s="36" t="s">
        <v>757</v>
      </c>
      <c r="C50" s="38" t="s">
        <v>743</v>
      </c>
      <c r="D50" s="47">
        <v>0.09</v>
      </c>
    </row>
    <row r="51" spans="1:4" ht="25.5">
      <c r="A51" s="36" t="s">
        <v>758</v>
      </c>
      <c r="B51" s="36" t="s">
        <v>759</v>
      </c>
      <c r="C51" s="38" t="s">
        <v>747</v>
      </c>
      <c r="D51" s="50">
        <v>0.1</v>
      </c>
    </row>
    <row r="52" spans="1:4" ht="12.75">
      <c r="A52" s="36" t="s">
        <v>760</v>
      </c>
      <c r="B52" s="36" t="s">
        <v>761</v>
      </c>
      <c r="C52" s="38" t="s">
        <v>762</v>
      </c>
      <c r="D52" s="50">
        <v>0.9</v>
      </c>
    </row>
    <row r="53" spans="1:4" ht="12.75">
      <c r="A53" s="36" t="s">
        <v>763</v>
      </c>
      <c r="B53" s="39" t="s">
        <v>764</v>
      </c>
      <c r="C53" s="38" t="s">
        <v>755</v>
      </c>
      <c r="D53" s="47">
        <v>0.06</v>
      </c>
    </row>
    <row r="54" spans="1:4" ht="12.75">
      <c r="A54" s="36" t="s">
        <v>765</v>
      </c>
      <c r="B54" s="36" t="s">
        <v>766</v>
      </c>
      <c r="C54" s="38" t="s">
        <v>762</v>
      </c>
      <c r="D54" s="47">
        <v>2.75</v>
      </c>
    </row>
    <row r="55" spans="1:4" ht="12.75">
      <c r="A55" s="36" t="s">
        <v>767</v>
      </c>
      <c r="B55" s="36" t="s">
        <v>768</v>
      </c>
      <c r="C55" s="38"/>
      <c r="D55" s="47">
        <v>1.5</v>
      </c>
    </row>
    <row r="56" spans="1:4" ht="12.75">
      <c r="A56" s="36" t="s">
        <v>769</v>
      </c>
      <c r="B56" s="36" t="s">
        <v>771</v>
      </c>
      <c r="C56" s="38"/>
      <c r="D56" s="47">
        <v>0.85</v>
      </c>
    </row>
    <row r="57" spans="1:4" ht="12.75">
      <c r="A57" s="36"/>
      <c r="B57" s="36" t="s">
        <v>770</v>
      </c>
      <c r="C57" s="38"/>
      <c r="D57" s="51">
        <f>D6+D13+D18+D19+D47+D48+D49+D50+D51+D52+D53+D54+D55+D56</f>
        <v>15.18</v>
      </c>
    </row>
  </sheetData>
  <sheetProtection/>
  <mergeCells count="3">
    <mergeCell ref="B1:D2"/>
    <mergeCell ref="A3:D3"/>
    <mergeCell ref="B4:C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4"/>
  <sheetViews>
    <sheetView zoomScalePageLayoutView="0" workbookViewId="0" topLeftCell="B289">
      <selection activeCell="B324" sqref="B324:G324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60.00390625" style="0" customWidth="1"/>
    <col min="4" max="4" width="13.00390625" style="0" customWidth="1"/>
    <col min="5" max="5" width="11.00390625" style="0" customWidth="1"/>
    <col min="6" max="6" width="13.00390625" style="0" customWidth="1"/>
    <col min="7" max="7" width="15.00390625" style="0" customWidth="1"/>
  </cols>
  <sheetData>
    <row r="1" spans="2:7" ht="27.75" customHeight="1">
      <c r="B1" s="84" t="s">
        <v>363</v>
      </c>
      <c r="C1" s="84"/>
      <c r="D1" s="84"/>
      <c r="E1" s="84"/>
      <c r="F1" s="84"/>
      <c r="G1" s="84"/>
    </row>
    <row r="3" spans="1:7" ht="36">
      <c r="A3" s="21"/>
      <c r="B3" s="22" t="s">
        <v>1</v>
      </c>
      <c r="C3" s="22" t="s">
        <v>364</v>
      </c>
      <c r="D3" s="22" t="s">
        <v>365</v>
      </c>
      <c r="E3" s="22" t="s">
        <v>4</v>
      </c>
      <c r="F3" s="22" t="s">
        <v>366</v>
      </c>
      <c r="G3" s="23" t="s">
        <v>12</v>
      </c>
    </row>
    <row r="4" spans="2:7" ht="15">
      <c r="B4" s="83" t="s">
        <v>367</v>
      </c>
      <c r="C4" s="83"/>
      <c r="D4" s="83"/>
      <c r="E4" s="83"/>
      <c r="F4" s="83"/>
      <c r="G4" s="83"/>
    </row>
    <row r="5" spans="2:7" ht="12">
      <c r="B5" s="24">
        <v>1</v>
      </c>
      <c r="C5" s="26" t="s">
        <v>368</v>
      </c>
      <c r="D5" s="26" t="s">
        <v>369</v>
      </c>
      <c r="E5" s="27">
        <v>9.215</v>
      </c>
      <c r="F5" s="28">
        <v>74.118</v>
      </c>
      <c r="G5" s="30">
        <f aca="true" t="shared" si="0" ref="G5:G36">E5*F5</f>
        <v>682.9973699999999</v>
      </c>
    </row>
    <row r="6" spans="2:7" ht="12">
      <c r="B6" s="25">
        <v>2</v>
      </c>
      <c r="C6" s="5" t="s">
        <v>370</v>
      </c>
      <c r="D6" s="5" t="s">
        <v>369</v>
      </c>
      <c r="E6" s="10">
        <v>18.43</v>
      </c>
      <c r="F6" s="12">
        <v>80.311</v>
      </c>
      <c r="G6" s="31">
        <f t="shared" si="0"/>
        <v>1480.13173</v>
      </c>
    </row>
    <row r="7" spans="2:7" ht="12">
      <c r="B7" s="25">
        <v>3</v>
      </c>
      <c r="C7" s="5" t="s">
        <v>371</v>
      </c>
      <c r="D7" s="5" t="s">
        <v>369</v>
      </c>
      <c r="E7" s="10">
        <v>27.645</v>
      </c>
      <c r="F7" s="12">
        <v>87.82400000000001</v>
      </c>
      <c r="G7" s="31">
        <f t="shared" si="0"/>
        <v>2427.8944800000004</v>
      </c>
    </row>
    <row r="8" spans="2:7" ht="12">
      <c r="B8" s="25">
        <v>4</v>
      </c>
      <c r="C8" s="5" t="s">
        <v>372</v>
      </c>
      <c r="D8" s="5" t="s">
        <v>369</v>
      </c>
      <c r="E8" s="10">
        <v>9.215</v>
      </c>
      <c r="F8" s="12">
        <v>99.04950000000001</v>
      </c>
      <c r="G8" s="31">
        <f t="shared" si="0"/>
        <v>912.7411425</v>
      </c>
    </row>
    <row r="9" spans="2:7" ht="12">
      <c r="B9" s="25">
        <v>5</v>
      </c>
      <c r="C9" s="5" t="s">
        <v>373</v>
      </c>
      <c r="D9" s="5" t="s">
        <v>369</v>
      </c>
      <c r="E9" s="10">
        <v>30</v>
      </c>
      <c r="F9" s="12">
        <v>80.311</v>
      </c>
      <c r="G9" s="31">
        <f t="shared" si="0"/>
        <v>2409.3300000000004</v>
      </c>
    </row>
    <row r="10" spans="2:7" ht="12">
      <c r="B10" s="25">
        <v>6</v>
      </c>
      <c r="C10" s="5" t="s">
        <v>374</v>
      </c>
      <c r="D10" s="5" t="s">
        <v>369</v>
      </c>
      <c r="E10" s="10">
        <v>415.867</v>
      </c>
      <c r="F10" s="12">
        <v>87.82400000000001</v>
      </c>
      <c r="G10" s="31">
        <f t="shared" si="0"/>
        <v>36523.10340800001</v>
      </c>
    </row>
    <row r="11" spans="2:7" ht="12">
      <c r="B11" s="25">
        <v>7</v>
      </c>
      <c r="C11" s="5" t="s">
        <v>375</v>
      </c>
      <c r="D11" s="5" t="s">
        <v>369</v>
      </c>
      <c r="E11" s="10">
        <v>1479.19386</v>
      </c>
      <c r="F11" s="12">
        <v>99.04950000000001</v>
      </c>
      <c r="G11" s="31">
        <f t="shared" si="0"/>
        <v>146513.41223607003</v>
      </c>
    </row>
    <row r="12" spans="2:7" ht="12">
      <c r="B12" s="25">
        <v>8</v>
      </c>
      <c r="C12" s="5" t="s">
        <v>376</v>
      </c>
      <c r="D12" s="5" t="s">
        <v>369</v>
      </c>
      <c r="E12" s="10">
        <v>62667.55973</v>
      </c>
      <c r="F12" s="29">
        <v>66.98</v>
      </c>
      <c r="G12" s="31">
        <f t="shared" si="0"/>
        <v>4197473.1507154</v>
      </c>
    </row>
    <row r="13" spans="2:7" ht="12">
      <c r="B13" s="25">
        <v>9</v>
      </c>
      <c r="C13" s="5" t="s">
        <v>377</v>
      </c>
      <c r="D13" s="5" t="s">
        <v>369</v>
      </c>
      <c r="E13" s="10">
        <v>70.647</v>
      </c>
      <c r="F13" s="12">
        <v>80.311</v>
      </c>
      <c r="G13" s="31">
        <f t="shared" si="0"/>
        <v>5673.731217000001</v>
      </c>
    </row>
    <row r="14" spans="2:7" ht="12">
      <c r="B14" s="25">
        <v>10</v>
      </c>
      <c r="C14" s="5" t="s">
        <v>378</v>
      </c>
      <c r="D14" s="5" t="s">
        <v>369</v>
      </c>
      <c r="E14" s="10">
        <v>13.406</v>
      </c>
      <c r="F14" s="12">
        <v>87.82400000000001</v>
      </c>
      <c r="G14" s="31">
        <f t="shared" si="0"/>
        <v>1177.3685440000002</v>
      </c>
    </row>
    <row r="15" spans="2:7" ht="12">
      <c r="B15" s="25">
        <v>11</v>
      </c>
      <c r="C15" s="5" t="s">
        <v>379</v>
      </c>
      <c r="D15" s="5" t="s">
        <v>369</v>
      </c>
      <c r="E15" s="10">
        <v>70.647</v>
      </c>
      <c r="F15" s="12">
        <v>99.04950000000001</v>
      </c>
      <c r="G15" s="31">
        <f t="shared" si="0"/>
        <v>6997.550026500001</v>
      </c>
    </row>
    <row r="16" spans="2:7" ht="12">
      <c r="B16" s="25">
        <v>12</v>
      </c>
      <c r="C16" s="5" t="s">
        <v>380</v>
      </c>
      <c r="D16" s="5" t="s">
        <v>369</v>
      </c>
      <c r="E16" s="10">
        <v>37.917</v>
      </c>
      <c r="F16" s="12">
        <v>80.311</v>
      </c>
      <c r="G16" s="31">
        <f t="shared" si="0"/>
        <v>3045.1521870000006</v>
      </c>
    </row>
    <row r="17" spans="2:7" ht="12">
      <c r="B17" s="25">
        <v>13</v>
      </c>
      <c r="C17" s="5" t="s">
        <v>381</v>
      </c>
      <c r="D17" s="5" t="s">
        <v>369</v>
      </c>
      <c r="E17" s="10">
        <v>37.917</v>
      </c>
      <c r="F17" s="12">
        <v>87.82400000000001</v>
      </c>
      <c r="G17" s="31">
        <f t="shared" si="0"/>
        <v>3330.0226080000007</v>
      </c>
    </row>
    <row r="18" spans="2:7" ht="12">
      <c r="B18" s="25">
        <v>14</v>
      </c>
      <c r="C18" s="5" t="s">
        <v>382</v>
      </c>
      <c r="D18" s="5" t="s">
        <v>369</v>
      </c>
      <c r="E18" s="10">
        <v>754.03</v>
      </c>
      <c r="F18" s="12">
        <v>80.311</v>
      </c>
      <c r="G18" s="31">
        <f t="shared" si="0"/>
        <v>60556.90333</v>
      </c>
    </row>
    <row r="19" spans="2:7" ht="12">
      <c r="B19" s="25">
        <v>15</v>
      </c>
      <c r="C19" s="5" t="s">
        <v>383</v>
      </c>
      <c r="D19" s="5" t="s">
        <v>369</v>
      </c>
      <c r="E19" s="10">
        <v>1825.593</v>
      </c>
      <c r="F19" s="12">
        <v>87.82400000000001</v>
      </c>
      <c r="G19" s="31">
        <f t="shared" si="0"/>
        <v>160330.87963200003</v>
      </c>
    </row>
    <row r="20" spans="2:7" ht="12">
      <c r="B20" s="25">
        <v>16</v>
      </c>
      <c r="C20" s="5" t="s">
        <v>384</v>
      </c>
      <c r="D20" s="5" t="s">
        <v>369</v>
      </c>
      <c r="E20" s="10">
        <v>754.03</v>
      </c>
      <c r="F20" s="12">
        <v>99.04950000000001</v>
      </c>
      <c r="G20" s="31">
        <f t="shared" si="0"/>
        <v>74686.294485</v>
      </c>
    </row>
    <row r="21" spans="2:7" ht="12">
      <c r="B21" s="25">
        <v>17</v>
      </c>
      <c r="C21" s="5" t="s">
        <v>385</v>
      </c>
      <c r="D21" s="5" t="s">
        <v>369</v>
      </c>
      <c r="E21" s="10">
        <v>13</v>
      </c>
      <c r="F21" s="12">
        <v>99.04950000000001</v>
      </c>
      <c r="G21" s="31">
        <f t="shared" si="0"/>
        <v>1287.6435000000001</v>
      </c>
    </row>
    <row r="22" spans="2:7" ht="12">
      <c r="B22" s="25">
        <v>18</v>
      </c>
      <c r="C22" s="5" t="s">
        <v>386</v>
      </c>
      <c r="D22" s="5" t="s">
        <v>369</v>
      </c>
      <c r="E22" s="10">
        <v>828</v>
      </c>
      <c r="F22" s="29">
        <v>122</v>
      </c>
      <c r="G22" s="31">
        <f t="shared" si="0"/>
        <v>101016</v>
      </c>
    </row>
    <row r="23" spans="2:7" ht="24">
      <c r="B23" s="25">
        <v>19</v>
      </c>
      <c r="C23" s="5" t="s">
        <v>387</v>
      </c>
      <c r="D23" s="5" t="s">
        <v>369</v>
      </c>
      <c r="E23" s="10">
        <v>214.02</v>
      </c>
      <c r="F23" s="12">
        <v>80.311</v>
      </c>
      <c r="G23" s="31">
        <f t="shared" si="0"/>
        <v>17188.16022</v>
      </c>
    </row>
    <row r="24" spans="2:7" ht="24">
      <c r="B24" s="25">
        <v>20</v>
      </c>
      <c r="C24" s="5" t="s">
        <v>388</v>
      </c>
      <c r="D24" s="5" t="s">
        <v>369</v>
      </c>
      <c r="E24" s="10">
        <v>214.02</v>
      </c>
      <c r="F24" s="12">
        <v>87.82400000000001</v>
      </c>
      <c r="G24" s="31">
        <f t="shared" si="0"/>
        <v>18796.092480000003</v>
      </c>
    </row>
    <row r="25" spans="2:7" ht="24">
      <c r="B25" s="25">
        <v>21</v>
      </c>
      <c r="C25" s="5" t="s">
        <v>389</v>
      </c>
      <c r="D25" s="5" t="s">
        <v>369</v>
      </c>
      <c r="E25" s="10">
        <v>179.8888</v>
      </c>
      <c r="F25" s="12">
        <v>99.04950000000001</v>
      </c>
      <c r="G25" s="31">
        <f t="shared" si="0"/>
        <v>17817.8956956</v>
      </c>
    </row>
    <row r="26" spans="2:7" ht="12">
      <c r="B26" s="25">
        <v>22</v>
      </c>
      <c r="C26" s="5" t="s">
        <v>390</v>
      </c>
      <c r="D26" s="5" t="s">
        <v>369</v>
      </c>
      <c r="E26" s="10">
        <v>1248.45</v>
      </c>
      <c r="F26" s="12">
        <v>80.311</v>
      </c>
      <c r="G26" s="31">
        <f t="shared" si="0"/>
        <v>100264.26795000001</v>
      </c>
    </row>
    <row r="27" spans="2:7" ht="12">
      <c r="B27" s="25">
        <v>23</v>
      </c>
      <c r="C27" s="5" t="s">
        <v>391</v>
      </c>
      <c r="D27" s="5" t="s">
        <v>369</v>
      </c>
      <c r="E27" s="10">
        <v>1239.9</v>
      </c>
      <c r="F27" s="12">
        <v>87.82400000000001</v>
      </c>
      <c r="G27" s="31">
        <f t="shared" si="0"/>
        <v>108892.97760000003</v>
      </c>
    </row>
    <row r="28" spans="2:7" ht="12">
      <c r="B28" s="25">
        <v>24</v>
      </c>
      <c r="C28" s="5" t="s">
        <v>392</v>
      </c>
      <c r="D28" s="5" t="s">
        <v>369</v>
      </c>
      <c r="E28" s="10">
        <v>8.55</v>
      </c>
      <c r="F28" s="12">
        <v>99.04950000000001</v>
      </c>
      <c r="G28" s="31">
        <f t="shared" si="0"/>
        <v>846.8732250000002</v>
      </c>
    </row>
    <row r="29" spans="2:7" ht="12">
      <c r="B29" s="25">
        <v>25</v>
      </c>
      <c r="C29" s="5" t="s">
        <v>393</v>
      </c>
      <c r="D29" s="5" t="s">
        <v>369</v>
      </c>
      <c r="E29" s="10">
        <v>6008.83888</v>
      </c>
      <c r="F29" s="12">
        <v>80.311</v>
      </c>
      <c r="G29" s="31">
        <f t="shared" si="0"/>
        <v>482575.85929168004</v>
      </c>
    </row>
    <row r="30" spans="2:7" ht="12">
      <c r="B30" s="25">
        <v>26</v>
      </c>
      <c r="C30" s="5" t="s">
        <v>394</v>
      </c>
      <c r="D30" s="5" t="s">
        <v>369</v>
      </c>
      <c r="E30" s="10">
        <v>172.92046</v>
      </c>
      <c r="F30" s="12">
        <v>87.82400000000001</v>
      </c>
      <c r="G30" s="31">
        <f t="shared" si="0"/>
        <v>15186.56647904</v>
      </c>
    </row>
    <row r="31" spans="2:7" ht="12">
      <c r="B31" s="25">
        <v>27</v>
      </c>
      <c r="C31" s="5" t="s">
        <v>395</v>
      </c>
      <c r="D31" s="5" t="s">
        <v>369</v>
      </c>
      <c r="E31" s="10">
        <v>4.5549</v>
      </c>
      <c r="F31" s="12">
        <v>88.95700000000001</v>
      </c>
      <c r="G31" s="31">
        <f t="shared" si="0"/>
        <v>405.19023930000003</v>
      </c>
    </row>
    <row r="32" spans="2:7" ht="12">
      <c r="B32" s="25">
        <v>28</v>
      </c>
      <c r="C32" s="5" t="s">
        <v>396</v>
      </c>
      <c r="D32" s="5" t="s">
        <v>369</v>
      </c>
      <c r="E32" s="10">
        <v>5588.0777</v>
      </c>
      <c r="F32" s="12">
        <v>99.04950000000001</v>
      </c>
      <c r="G32" s="31">
        <f t="shared" si="0"/>
        <v>553496.30214615</v>
      </c>
    </row>
    <row r="33" spans="2:7" ht="12">
      <c r="B33" s="25">
        <v>29</v>
      </c>
      <c r="C33" s="5" t="s">
        <v>397</v>
      </c>
      <c r="D33" s="5" t="s">
        <v>369</v>
      </c>
      <c r="E33" s="10">
        <v>948.7</v>
      </c>
      <c r="F33" s="29">
        <v>122</v>
      </c>
      <c r="G33" s="31">
        <f t="shared" si="0"/>
        <v>115741.40000000001</v>
      </c>
    </row>
    <row r="34" spans="2:7" ht="12">
      <c r="B34" s="25">
        <v>30</v>
      </c>
      <c r="C34" s="5" t="s">
        <v>398</v>
      </c>
      <c r="D34" s="5" t="s">
        <v>369</v>
      </c>
      <c r="E34" s="10">
        <v>1727.934</v>
      </c>
      <c r="F34" s="29">
        <v>122</v>
      </c>
      <c r="G34" s="31">
        <f t="shared" si="0"/>
        <v>210807.948</v>
      </c>
    </row>
    <row r="35" spans="2:7" ht="12">
      <c r="B35" s="25">
        <v>31</v>
      </c>
      <c r="C35" s="5" t="s">
        <v>399</v>
      </c>
      <c r="D35" s="5" t="s">
        <v>369</v>
      </c>
      <c r="E35" s="10">
        <v>360</v>
      </c>
      <c r="F35" s="12">
        <v>114.18</v>
      </c>
      <c r="G35" s="31">
        <f t="shared" si="0"/>
        <v>41104.8</v>
      </c>
    </row>
    <row r="36" spans="2:7" ht="24">
      <c r="B36" s="25">
        <v>32</v>
      </c>
      <c r="C36" s="5" t="s">
        <v>400</v>
      </c>
      <c r="D36" s="5" t="s">
        <v>369</v>
      </c>
      <c r="E36" s="10">
        <v>0.403</v>
      </c>
      <c r="F36" s="12">
        <v>99.04950000000001</v>
      </c>
      <c r="G36" s="31">
        <f t="shared" si="0"/>
        <v>39.916948500000004</v>
      </c>
    </row>
    <row r="37" spans="2:7" ht="12">
      <c r="B37" s="25">
        <v>33</v>
      </c>
      <c r="C37" s="5" t="s">
        <v>401</v>
      </c>
      <c r="D37" s="5" t="s">
        <v>369</v>
      </c>
      <c r="E37" s="10">
        <v>36.9</v>
      </c>
      <c r="F37" s="12">
        <v>87.82400000000001</v>
      </c>
      <c r="G37" s="31">
        <f aca="true" t="shared" si="1" ref="G37:G68">E37*F37</f>
        <v>3240.7056000000002</v>
      </c>
    </row>
    <row r="38" spans="2:7" ht="12">
      <c r="B38" s="25">
        <v>34</v>
      </c>
      <c r="C38" s="5" t="s">
        <v>402</v>
      </c>
      <c r="D38" s="5" t="s">
        <v>369</v>
      </c>
      <c r="E38" s="10">
        <v>155.4</v>
      </c>
      <c r="F38" s="12">
        <v>80.311</v>
      </c>
      <c r="G38" s="31">
        <f t="shared" si="1"/>
        <v>12480.329400000002</v>
      </c>
    </row>
    <row r="39" spans="2:7" ht="12">
      <c r="B39" s="25">
        <v>35</v>
      </c>
      <c r="C39" s="5" t="s">
        <v>403</v>
      </c>
      <c r="D39" s="5" t="s">
        <v>369</v>
      </c>
      <c r="E39" s="10">
        <v>1561.1590016</v>
      </c>
      <c r="F39" s="12">
        <v>74.118</v>
      </c>
      <c r="G39" s="31">
        <f t="shared" si="1"/>
        <v>115709.9828805888</v>
      </c>
    </row>
    <row r="40" spans="2:7" ht="12">
      <c r="B40" s="25">
        <v>36</v>
      </c>
      <c r="C40" s="5" t="s">
        <v>404</v>
      </c>
      <c r="D40" s="5" t="s">
        <v>369</v>
      </c>
      <c r="E40" s="10">
        <v>2250</v>
      </c>
      <c r="F40" s="12">
        <v>87.82400000000001</v>
      </c>
      <c r="G40" s="31">
        <f t="shared" si="1"/>
        <v>197604.00000000003</v>
      </c>
    </row>
    <row r="41" spans="2:7" ht="12">
      <c r="B41" s="25">
        <v>37</v>
      </c>
      <c r="C41" s="5" t="s">
        <v>405</v>
      </c>
      <c r="D41" s="5" t="s">
        <v>369</v>
      </c>
      <c r="E41" s="10">
        <v>135</v>
      </c>
      <c r="F41" s="12">
        <v>114.18</v>
      </c>
      <c r="G41" s="31">
        <f t="shared" si="1"/>
        <v>15414.300000000001</v>
      </c>
    </row>
    <row r="42" spans="2:7" ht="24">
      <c r="B42" s="25">
        <v>38</v>
      </c>
      <c r="C42" s="5" t="s">
        <v>406</v>
      </c>
      <c r="D42" s="5" t="s">
        <v>369</v>
      </c>
      <c r="E42" s="10">
        <v>60626.81241178</v>
      </c>
      <c r="F42" s="29">
        <v>66.98</v>
      </c>
      <c r="G42" s="31">
        <f t="shared" si="1"/>
        <v>4060783.8953410247</v>
      </c>
    </row>
    <row r="43" spans="2:7" ht="24">
      <c r="B43" s="25">
        <v>39</v>
      </c>
      <c r="C43" s="5" t="s">
        <v>407</v>
      </c>
      <c r="D43" s="5" t="s">
        <v>369</v>
      </c>
      <c r="E43" s="10">
        <v>2086.392</v>
      </c>
      <c r="F43" s="12">
        <v>99.04950000000001</v>
      </c>
      <c r="G43" s="31">
        <f t="shared" si="1"/>
        <v>206656.084404</v>
      </c>
    </row>
    <row r="44" spans="2:7" ht="24">
      <c r="B44" s="25">
        <v>40</v>
      </c>
      <c r="C44" s="5" t="s">
        <v>408</v>
      </c>
      <c r="D44" s="5" t="s">
        <v>369</v>
      </c>
      <c r="E44" s="10">
        <v>36.9</v>
      </c>
      <c r="F44" s="12">
        <v>99.04950000000001</v>
      </c>
      <c r="G44" s="31">
        <f t="shared" si="1"/>
        <v>3654.92655</v>
      </c>
    </row>
    <row r="45" spans="2:7" ht="12">
      <c r="B45" s="25">
        <v>41</v>
      </c>
      <c r="C45" s="5" t="s">
        <v>409</v>
      </c>
      <c r="D45" s="5" t="s">
        <v>369</v>
      </c>
      <c r="E45" s="10">
        <v>36.75</v>
      </c>
      <c r="F45" s="12">
        <v>99.04950000000001</v>
      </c>
      <c r="G45" s="31">
        <f t="shared" si="1"/>
        <v>3640.0691250000004</v>
      </c>
    </row>
    <row r="46" spans="2:7" ht="12">
      <c r="B46" s="25">
        <v>42</v>
      </c>
      <c r="C46" s="5" t="s">
        <v>410</v>
      </c>
      <c r="D46" s="5" t="s">
        <v>369</v>
      </c>
      <c r="E46" s="10">
        <v>79.89405</v>
      </c>
      <c r="F46" s="12">
        <v>87.82400000000001</v>
      </c>
      <c r="G46" s="31">
        <f t="shared" si="1"/>
        <v>7016.6150472</v>
      </c>
    </row>
    <row r="47" spans="2:7" ht="12">
      <c r="B47" s="25">
        <v>43</v>
      </c>
      <c r="C47" s="5" t="s">
        <v>411</v>
      </c>
      <c r="D47" s="5" t="s">
        <v>369</v>
      </c>
      <c r="E47" s="10">
        <v>240</v>
      </c>
      <c r="F47" s="12">
        <v>87.82400000000001</v>
      </c>
      <c r="G47" s="31">
        <f t="shared" si="1"/>
        <v>21077.760000000002</v>
      </c>
    </row>
    <row r="48" spans="2:7" ht="12">
      <c r="B48" s="25">
        <v>44</v>
      </c>
      <c r="C48" s="5" t="s">
        <v>412</v>
      </c>
      <c r="D48" s="5" t="s">
        <v>369</v>
      </c>
      <c r="E48" s="10">
        <v>1114.93628571</v>
      </c>
      <c r="F48" s="12">
        <v>80.311</v>
      </c>
      <c r="G48" s="31">
        <f t="shared" si="1"/>
        <v>89541.64804165582</v>
      </c>
    </row>
    <row r="49" spans="2:7" ht="12">
      <c r="B49" s="25">
        <v>45</v>
      </c>
      <c r="C49" s="5" t="s">
        <v>413</v>
      </c>
      <c r="D49" s="5" t="s">
        <v>369</v>
      </c>
      <c r="E49" s="10">
        <v>4052.37542488</v>
      </c>
      <c r="F49" s="12">
        <v>87.82400000000001</v>
      </c>
      <c r="G49" s="31">
        <f t="shared" si="1"/>
        <v>355895.8193146612</v>
      </c>
    </row>
    <row r="50" spans="2:7" ht="12">
      <c r="B50" s="25">
        <v>46</v>
      </c>
      <c r="C50" s="5" t="s">
        <v>414</v>
      </c>
      <c r="D50" s="5" t="s">
        <v>369</v>
      </c>
      <c r="E50" s="10">
        <v>19010.150325</v>
      </c>
      <c r="F50" s="12">
        <v>99.04950000000001</v>
      </c>
      <c r="G50" s="31">
        <f t="shared" si="1"/>
        <v>1882945.8846160877</v>
      </c>
    </row>
    <row r="51" spans="2:7" ht="12">
      <c r="B51" s="25">
        <v>47</v>
      </c>
      <c r="C51" s="5" t="s">
        <v>415</v>
      </c>
      <c r="D51" s="5" t="s">
        <v>369</v>
      </c>
      <c r="E51" s="10">
        <v>435.74999988</v>
      </c>
      <c r="F51" s="12">
        <v>114.18</v>
      </c>
      <c r="G51" s="31">
        <f t="shared" si="1"/>
        <v>49753.9349862984</v>
      </c>
    </row>
    <row r="52" spans="2:7" ht="12">
      <c r="B52" s="25">
        <v>48</v>
      </c>
      <c r="C52" s="5" t="s">
        <v>416</v>
      </c>
      <c r="D52" s="5" t="s">
        <v>369</v>
      </c>
      <c r="E52" s="10">
        <v>17.03999988</v>
      </c>
      <c r="F52" s="12">
        <v>133.02300000000002</v>
      </c>
      <c r="G52" s="31">
        <f t="shared" si="1"/>
        <v>2266.7119040372404</v>
      </c>
    </row>
    <row r="53" spans="2:7" ht="12">
      <c r="B53" s="25">
        <v>49</v>
      </c>
      <c r="C53" s="5" t="s">
        <v>417</v>
      </c>
      <c r="D53" s="5" t="s">
        <v>369</v>
      </c>
      <c r="E53" s="10">
        <v>177.3093334</v>
      </c>
      <c r="F53" s="12">
        <v>80.311</v>
      </c>
      <c r="G53" s="31">
        <f t="shared" si="1"/>
        <v>14239.889874687402</v>
      </c>
    </row>
    <row r="54" spans="2:7" ht="12">
      <c r="B54" s="25">
        <v>50</v>
      </c>
      <c r="C54" s="5" t="s">
        <v>418</v>
      </c>
      <c r="D54" s="5" t="s">
        <v>369</v>
      </c>
      <c r="E54" s="10">
        <v>44.62</v>
      </c>
      <c r="F54" s="12">
        <v>80.311</v>
      </c>
      <c r="G54" s="31">
        <f t="shared" si="1"/>
        <v>3583.4768200000003</v>
      </c>
    </row>
    <row r="55" spans="2:7" ht="12">
      <c r="B55" s="25">
        <v>51</v>
      </c>
      <c r="C55" s="5" t="s">
        <v>419</v>
      </c>
      <c r="D55" s="5" t="s">
        <v>369</v>
      </c>
      <c r="E55" s="10">
        <v>44.62</v>
      </c>
      <c r="F55" s="12">
        <v>87.82400000000001</v>
      </c>
      <c r="G55" s="31">
        <f t="shared" si="1"/>
        <v>3918.70688</v>
      </c>
    </row>
    <row r="56" spans="2:7" ht="12">
      <c r="B56" s="25">
        <v>52</v>
      </c>
      <c r="C56" s="5" t="s">
        <v>420</v>
      </c>
      <c r="D56" s="5" t="s">
        <v>369</v>
      </c>
      <c r="E56" s="10">
        <v>432</v>
      </c>
      <c r="F56" s="12">
        <v>88.95700000000001</v>
      </c>
      <c r="G56" s="31">
        <f t="shared" si="1"/>
        <v>38429.424000000006</v>
      </c>
    </row>
    <row r="57" spans="2:7" ht="12">
      <c r="B57" s="25">
        <v>53</v>
      </c>
      <c r="C57" s="5" t="s">
        <v>421</v>
      </c>
      <c r="D57" s="5" t="s">
        <v>369</v>
      </c>
      <c r="E57" s="10">
        <v>203.0944</v>
      </c>
      <c r="F57" s="12">
        <v>87.82400000000001</v>
      </c>
      <c r="G57" s="31">
        <f t="shared" si="1"/>
        <v>17836.562585600004</v>
      </c>
    </row>
    <row r="58" spans="2:7" ht="12">
      <c r="B58" s="25">
        <v>54</v>
      </c>
      <c r="C58" s="5" t="s">
        <v>422</v>
      </c>
      <c r="D58" s="5" t="s">
        <v>369</v>
      </c>
      <c r="E58" s="10">
        <v>409.5</v>
      </c>
      <c r="F58" s="12">
        <v>93.3845</v>
      </c>
      <c r="G58" s="31">
        <f t="shared" si="1"/>
        <v>38240.952750000004</v>
      </c>
    </row>
    <row r="59" spans="2:7" ht="12">
      <c r="B59" s="25">
        <v>55</v>
      </c>
      <c r="C59" s="5" t="s">
        <v>423</v>
      </c>
      <c r="D59" s="5" t="s">
        <v>369</v>
      </c>
      <c r="E59" s="10">
        <v>2202.1271</v>
      </c>
      <c r="F59" s="12">
        <v>99.04950000000001</v>
      </c>
      <c r="G59" s="31">
        <f t="shared" si="1"/>
        <v>218119.58819145005</v>
      </c>
    </row>
    <row r="60" spans="2:7" ht="12">
      <c r="B60" s="25">
        <v>56</v>
      </c>
      <c r="C60" s="5" t="s">
        <v>424</v>
      </c>
      <c r="D60" s="5" t="s">
        <v>369</v>
      </c>
      <c r="E60" s="10">
        <v>0.81</v>
      </c>
      <c r="F60" s="12">
        <v>113.322</v>
      </c>
      <c r="G60" s="31">
        <f t="shared" si="1"/>
        <v>91.79082000000001</v>
      </c>
    </row>
    <row r="61" spans="2:7" ht="12">
      <c r="B61" s="25">
        <v>57</v>
      </c>
      <c r="C61" s="5" t="s">
        <v>425</v>
      </c>
      <c r="D61" s="5" t="s">
        <v>369</v>
      </c>
      <c r="E61" s="10">
        <v>17355.48383779</v>
      </c>
      <c r="F61" s="29">
        <v>44</v>
      </c>
      <c r="G61" s="31">
        <f t="shared" si="1"/>
        <v>763641.2888627601</v>
      </c>
    </row>
    <row r="62" spans="2:7" ht="12">
      <c r="B62" s="25">
        <v>58</v>
      </c>
      <c r="C62" s="5" t="s">
        <v>426</v>
      </c>
      <c r="D62" s="5" t="s">
        <v>369</v>
      </c>
      <c r="E62" s="10">
        <v>130.4649903</v>
      </c>
      <c r="F62" s="12">
        <v>80.311</v>
      </c>
      <c r="G62" s="31">
        <f t="shared" si="1"/>
        <v>10477.773835983302</v>
      </c>
    </row>
    <row r="63" spans="2:7" ht="12">
      <c r="B63" s="25">
        <v>59</v>
      </c>
      <c r="C63" s="5" t="s">
        <v>427</v>
      </c>
      <c r="D63" s="5" t="s">
        <v>369</v>
      </c>
      <c r="E63" s="10">
        <v>260.736</v>
      </c>
      <c r="F63" s="12">
        <v>99.04950000000001</v>
      </c>
      <c r="G63" s="31">
        <f t="shared" si="1"/>
        <v>25825.770432</v>
      </c>
    </row>
    <row r="64" spans="2:7" ht="12">
      <c r="B64" s="25">
        <v>60</v>
      </c>
      <c r="C64" s="5" t="s">
        <v>428</v>
      </c>
      <c r="D64" s="5" t="s">
        <v>369</v>
      </c>
      <c r="E64" s="10">
        <v>1160</v>
      </c>
      <c r="F64" s="12">
        <v>80.311</v>
      </c>
      <c r="G64" s="31">
        <f t="shared" si="1"/>
        <v>93160.76000000001</v>
      </c>
    </row>
    <row r="65" spans="2:7" ht="12">
      <c r="B65" s="25">
        <v>61</v>
      </c>
      <c r="C65" s="5" t="s">
        <v>429</v>
      </c>
      <c r="D65" s="5" t="s">
        <v>369</v>
      </c>
      <c r="E65" s="10">
        <v>175.522</v>
      </c>
      <c r="F65" s="12">
        <v>87.82400000000001</v>
      </c>
      <c r="G65" s="31">
        <f t="shared" si="1"/>
        <v>15415.044128000001</v>
      </c>
    </row>
    <row r="66" spans="2:7" ht="12">
      <c r="B66" s="25">
        <v>62</v>
      </c>
      <c r="C66" s="5" t="s">
        <v>430</v>
      </c>
      <c r="D66" s="5" t="s">
        <v>369</v>
      </c>
      <c r="E66" s="10">
        <v>172.377</v>
      </c>
      <c r="F66" s="12">
        <v>92.356</v>
      </c>
      <c r="G66" s="31">
        <f t="shared" si="1"/>
        <v>15920.050212</v>
      </c>
    </row>
    <row r="67" spans="2:7" ht="12">
      <c r="B67" s="25">
        <v>63</v>
      </c>
      <c r="C67" s="5" t="s">
        <v>431</v>
      </c>
      <c r="D67" s="5" t="s">
        <v>369</v>
      </c>
      <c r="E67" s="10">
        <v>1160</v>
      </c>
      <c r="F67" s="12">
        <v>99.04950000000001</v>
      </c>
      <c r="G67" s="31">
        <f t="shared" si="1"/>
        <v>114897.42000000001</v>
      </c>
    </row>
    <row r="68" spans="2:7" ht="12">
      <c r="B68" s="25">
        <v>64</v>
      </c>
      <c r="C68" s="5" t="s">
        <v>432</v>
      </c>
      <c r="D68" s="5" t="s">
        <v>369</v>
      </c>
      <c r="E68" s="10">
        <v>174.6</v>
      </c>
      <c r="F68" s="12">
        <v>80.311</v>
      </c>
      <c r="G68" s="31">
        <f t="shared" si="1"/>
        <v>14022.3006</v>
      </c>
    </row>
    <row r="69" spans="2:7" ht="12">
      <c r="B69" s="25">
        <v>65</v>
      </c>
      <c r="C69" s="5" t="s">
        <v>433</v>
      </c>
      <c r="D69" s="5" t="s">
        <v>369</v>
      </c>
      <c r="E69" s="10">
        <v>351.6</v>
      </c>
      <c r="F69" s="12">
        <v>94.5175</v>
      </c>
      <c r="G69" s="31">
        <f aca="true" t="shared" si="2" ref="G69:G75">E69*F69</f>
        <v>33232.353</v>
      </c>
    </row>
    <row r="70" spans="2:7" ht="12">
      <c r="B70" s="25">
        <v>66</v>
      </c>
      <c r="C70" s="5" t="s">
        <v>434</v>
      </c>
      <c r="D70" s="5" t="s">
        <v>369</v>
      </c>
      <c r="E70" s="10">
        <v>1450.54628571</v>
      </c>
      <c r="F70" s="12">
        <v>99.04950000000001</v>
      </c>
      <c r="G70" s="31">
        <f t="shared" si="2"/>
        <v>143675.88432643266</v>
      </c>
    </row>
    <row r="71" spans="2:7" ht="12">
      <c r="B71" s="25">
        <v>67</v>
      </c>
      <c r="C71" s="5" t="s">
        <v>435</v>
      </c>
      <c r="D71" s="5" t="s">
        <v>369</v>
      </c>
      <c r="E71" s="10">
        <v>0.302</v>
      </c>
      <c r="F71" s="12">
        <v>133.02300000000002</v>
      </c>
      <c r="G71" s="31">
        <f t="shared" si="2"/>
        <v>40.172946</v>
      </c>
    </row>
    <row r="72" spans="2:7" ht="24">
      <c r="B72" s="25">
        <v>68</v>
      </c>
      <c r="C72" s="5" t="s">
        <v>436</v>
      </c>
      <c r="D72" s="5" t="s">
        <v>369</v>
      </c>
      <c r="E72" s="10">
        <v>180.576</v>
      </c>
      <c r="F72" s="12">
        <v>80.311</v>
      </c>
      <c r="G72" s="31">
        <f t="shared" si="2"/>
        <v>14502.239136</v>
      </c>
    </row>
    <row r="73" spans="2:7" ht="24">
      <c r="B73" s="25">
        <v>69</v>
      </c>
      <c r="C73" s="5" t="s">
        <v>437</v>
      </c>
      <c r="D73" s="5" t="s">
        <v>369</v>
      </c>
      <c r="E73" s="10">
        <v>1005.512</v>
      </c>
      <c r="F73" s="12">
        <v>87.82400000000001</v>
      </c>
      <c r="G73" s="31">
        <f t="shared" si="2"/>
        <v>88308.085888</v>
      </c>
    </row>
    <row r="74" spans="2:7" ht="24">
      <c r="B74" s="25">
        <v>70</v>
      </c>
      <c r="C74" s="5" t="s">
        <v>438</v>
      </c>
      <c r="D74" s="5" t="s">
        <v>369</v>
      </c>
      <c r="E74" s="10">
        <v>80.494</v>
      </c>
      <c r="F74" s="12">
        <v>93.3845</v>
      </c>
      <c r="G74" s="31">
        <f t="shared" si="2"/>
        <v>7516.8919430000005</v>
      </c>
    </row>
    <row r="75" spans="2:7" ht="24">
      <c r="B75" s="25">
        <v>71</v>
      </c>
      <c r="C75" s="5" t="s">
        <v>439</v>
      </c>
      <c r="D75" s="5" t="s">
        <v>369</v>
      </c>
      <c r="E75" s="10">
        <v>408.91666602</v>
      </c>
      <c r="F75" s="12">
        <v>99.04950000000001</v>
      </c>
      <c r="G75" s="31">
        <f t="shared" si="2"/>
        <v>40502.99131094799</v>
      </c>
    </row>
    <row r="76" spans="2:7" ht="12">
      <c r="B76" s="80" t="s">
        <v>440</v>
      </c>
      <c r="C76" s="81"/>
      <c r="D76" s="81"/>
      <c r="E76" s="81"/>
      <c r="F76" s="82"/>
      <c r="G76" s="32">
        <f>SUM(G5:G75)</f>
        <v>15232970.642640153</v>
      </c>
    </row>
    <row r="77" spans="2:7" ht="15">
      <c r="B77" s="83" t="s">
        <v>441</v>
      </c>
      <c r="C77" s="83"/>
      <c r="D77" s="83"/>
      <c r="E77" s="83"/>
      <c r="F77" s="83"/>
      <c r="G77" s="83"/>
    </row>
    <row r="78" spans="2:7" ht="12">
      <c r="B78" s="24">
        <v>72</v>
      </c>
      <c r="C78" s="26" t="s">
        <v>442</v>
      </c>
      <c r="D78" s="26" t="s">
        <v>443</v>
      </c>
      <c r="E78" s="27">
        <v>1.86</v>
      </c>
      <c r="F78" s="28">
        <v>5.9597999999999995</v>
      </c>
      <c r="G78" s="30">
        <f aca="true" t="shared" si="3" ref="G78:G141">E78*F78</f>
        <v>11.085227999999999</v>
      </c>
    </row>
    <row r="79" spans="2:7" ht="12">
      <c r="B79" s="25">
        <v>73</v>
      </c>
      <c r="C79" s="5" t="s">
        <v>444</v>
      </c>
      <c r="D79" s="5" t="s">
        <v>445</v>
      </c>
      <c r="E79" s="10">
        <v>0.15</v>
      </c>
      <c r="F79" s="12">
        <v>16925.049899999998</v>
      </c>
      <c r="G79" s="31">
        <f t="shared" si="3"/>
        <v>2538.7574849999996</v>
      </c>
    </row>
    <row r="80" spans="2:7" ht="12">
      <c r="B80" s="25">
        <v>74</v>
      </c>
      <c r="C80" s="5" t="s">
        <v>446</v>
      </c>
      <c r="D80" s="5" t="s">
        <v>445</v>
      </c>
      <c r="E80" s="10">
        <v>25.2225</v>
      </c>
      <c r="F80" s="12">
        <v>3313.8567</v>
      </c>
      <c r="G80" s="31">
        <f t="shared" si="3"/>
        <v>83583.75061575</v>
      </c>
    </row>
    <row r="81" spans="2:7" ht="12">
      <c r="B81" s="25">
        <v>75</v>
      </c>
      <c r="C81" s="5" t="s">
        <v>447</v>
      </c>
      <c r="D81" s="5" t="s">
        <v>448</v>
      </c>
      <c r="E81" s="10">
        <v>5.0973</v>
      </c>
      <c r="F81" s="12">
        <v>114.5034</v>
      </c>
      <c r="G81" s="31">
        <f t="shared" si="3"/>
        <v>583.65818082</v>
      </c>
    </row>
    <row r="82" spans="2:7" ht="12">
      <c r="B82" s="25">
        <v>76</v>
      </c>
      <c r="C82" s="5" t="s">
        <v>449</v>
      </c>
      <c r="D82" s="5" t="s">
        <v>445</v>
      </c>
      <c r="E82" s="10">
        <v>0.70976955</v>
      </c>
      <c r="F82" s="12">
        <v>38194.3287</v>
      </c>
      <c r="G82" s="31">
        <f t="shared" si="3"/>
        <v>27109.171493951082</v>
      </c>
    </row>
    <row r="83" spans="2:7" ht="12">
      <c r="B83" s="25">
        <v>77</v>
      </c>
      <c r="C83" s="5" t="s">
        <v>450</v>
      </c>
      <c r="D83" s="5" t="s">
        <v>448</v>
      </c>
      <c r="E83" s="10">
        <v>0.03</v>
      </c>
      <c r="F83" s="12">
        <v>3179.88</v>
      </c>
      <c r="G83" s="31">
        <f t="shared" si="3"/>
        <v>95.3964</v>
      </c>
    </row>
    <row r="84" spans="2:7" ht="12">
      <c r="B84" s="25">
        <v>78</v>
      </c>
      <c r="C84" s="5" t="s">
        <v>451</v>
      </c>
      <c r="D84" s="5" t="s">
        <v>448</v>
      </c>
      <c r="E84" s="10">
        <v>9.36</v>
      </c>
      <c r="F84" s="12">
        <v>4633.4673</v>
      </c>
      <c r="G84" s="31">
        <f t="shared" si="3"/>
        <v>43369.253928</v>
      </c>
    </row>
    <row r="85" spans="2:7" ht="12">
      <c r="B85" s="25">
        <v>79</v>
      </c>
      <c r="C85" s="5" t="s">
        <v>452</v>
      </c>
      <c r="D85" s="5" t="s">
        <v>445</v>
      </c>
      <c r="E85" s="10">
        <v>0.0608</v>
      </c>
      <c r="F85" s="12">
        <v>15027.4575</v>
      </c>
      <c r="G85" s="31">
        <f t="shared" si="3"/>
        <v>913.6694160000001</v>
      </c>
    </row>
    <row r="86" spans="2:7" ht="24">
      <c r="B86" s="25">
        <v>80</v>
      </c>
      <c r="C86" s="5" t="s">
        <v>453</v>
      </c>
      <c r="D86" s="5" t="s">
        <v>445</v>
      </c>
      <c r="E86" s="10">
        <v>0.033</v>
      </c>
      <c r="F86" s="12">
        <v>45090.7281</v>
      </c>
      <c r="G86" s="31">
        <f t="shared" si="3"/>
        <v>1487.9940273</v>
      </c>
    </row>
    <row r="87" spans="2:7" ht="24">
      <c r="B87" s="25">
        <v>81</v>
      </c>
      <c r="C87" s="5" t="s">
        <v>454</v>
      </c>
      <c r="D87" s="5" t="s">
        <v>445</v>
      </c>
      <c r="E87" s="10">
        <v>0.0305</v>
      </c>
      <c r="F87" s="12">
        <v>50952.1518</v>
      </c>
      <c r="G87" s="31">
        <f t="shared" si="3"/>
        <v>1554.0406298999999</v>
      </c>
    </row>
    <row r="88" spans="2:7" ht="24">
      <c r="B88" s="25">
        <v>82</v>
      </c>
      <c r="C88" s="5" t="s">
        <v>455</v>
      </c>
      <c r="D88" s="5" t="s">
        <v>445</v>
      </c>
      <c r="E88" s="10">
        <v>0.8016</v>
      </c>
      <c r="F88" s="12">
        <v>49330.12590000001</v>
      </c>
      <c r="G88" s="31">
        <f t="shared" si="3"/>
        <v>39543.02892144</v>
      </c>
    </row>
    <row r="89" spans="2:7" ht="12">
      <c r="B89" s="25">
        <v>83</v>
      </c>
      <c r="C89" s="5" t="s">
        <v>456</v>
      </c>
      <c r="D89" s="5" t="s">
        <v>445</v>
      </c>
      <c r="E89" s="10">
        <v>0.05952</v>
      </c>
      <c r="F89" s="12">
        <v>32452.3386</v>
      </c>
      <c r="G89" s="31">
        <f t="shared" si="3"/>
        <v>1931.563193472</v>
      </c>
    </row>
    <row r="90" spans="2:7" ht="24">
      <c r="B90" s="25">
        <v>84</v>
      </c>
      <c r="C90" s="5" t="s">
        <v>457</v>
      </c>
      <c r="D90" s="5" t="s">
        <v>448</v>
      </c>
      <c r="E90" s="10">
        <v>1.5905</v>
      </c>
      <c r="F90" s="12">
        <v>4805.1530999999995</v>
      </c>
      <c r="G90" s="31">
        <f t="shared" si="3"/>
        <v>7642.596005549999</v>
      </c>
    </row>
    <row r="91" spans="2:7" ht="24">
      <c r="B91" s="25">
        <v>85</v>
      </c>
      <c r="C91" s="5" t="s">
        <v>458</v>
      </c>
      <c r="D91" s="5" t="s">
        <v>459</v>
      </c>
      <c r="E91" s="10">
        <v>30</v>
      </c>
      <c r="F91" s="12">
        <v>185.5656</v>
      </c>
      <c r="G91" s="31">
        <f t="shared" si="3"/>
        <v>5566.968</v>
      </c>
    </row>
    <row r="92" spans="2:7" ht="12">
      <c r="B92" s="25">
        <v>86</v>
      </c>
      <c r="C92" s="5" t="s">
        <v>460</v>
      </c>
      <c r="D92" s="5" t="s">
        <v>459</v>
      </c>
      <c r="E92" s="10">
        <v>1050</v>
      </c>
      <c r="F92" s="12">
        <v>78.2298</v>
      </c>
      <c r="G92" s="31">
        <f t="shared" si="3"/>
        <v>82141.29</v>
      </c>
    </row>
    <row r="93" spans="2:7" ht="12">
      <c r="B93" s="25">
        <v>87</v>
      </c>
      <c r="C93" s="5" t="s">
        <v>461</v>
      </c>
      <c r="D93" s="5" t="s">
        <v>459</v>
      </c>
      <c r="E93" s="10">
        <v>450</v>
      </c>
      <c r="F93" s="12">
        <v>152.2422</v>
      </c>
      <c r="G93" s="31">
        <f t="shared" si="3"/>
        <v>68508.99</v>
      </c>
    </row>
    <row r="94" spans="2:7" ht="12">
      <c r="B94" s="25">
        <v>88</v>
      </c>
      <c r="C94" s="5" t="s">
        <v>462</v>
      </c>
      <c r="D94" s="5" t="s">
        <v>459</v>
      </c>
      <c r="E94" s="10">
        <v>10</v>
      </c>
      <c r="F94" s="12">
        <v>337.23359999999997</v>
      </c>
      <c r="G94" s="31">
        <f t="shared" si="3"/>
        <v>3372.336</v>
      </c>
    </row>
    <row r="95" spans="2:7" ht="12">
      <c r="B95" s="25">
        <v>89</v>
      </c>
      <c r="C95" s="5" t="s">
        <v>463</v>
      </c>
      <c r="D95" s="5" t="s">
        <v>445</v>
      </c>
      <c r="E95" s="10">
        <v>0.003</v>
      </c>
      <c r="F95" s="12">
        <v>99385.37730000001</v>
      </c>
      <c r="G95" s="31">
        <f t="shared" si="3"/>
        <v>298.15613190000005</v>
      </c>
    </row>
    <row r="96" spans="2:7" ht="12">
      <c r="B96" s="25">
        <v>90</v>
      </c>
      <c r="C96" s="5" t="s">
        <v>464</v>
      </c>
      <c r="D96" s="5" t="s">
        <v>445</v>
      </c>
      <c r="E96" s="10">
        <v>0.252</v>
      </c>
      <c r="F96" s="12">
        <v>23476.018500000002</v>
      </c>
      <c r="G96" s="31">
        <f t="shared" si="3"/>
        <v>5915.9566620000005</v>
      </c>
    </row>
    <row r="97" spans="2:7" ht="12">
      <c r="B97" s="25">
        <v>91</v>
      </c>
      <c r="C97" s="5" t="s">
        <v>465</v>
      </c>
      <c r="D97" s="5" t="s">
        <v>443</v>
      </c>
      <c r="E97" s="10">
        <v>218.153649</v>
      </c>
      <c r="F97" s="12">
        <v>27.5418</v>
      </c>
      <c r="G97" s="31">
        <f t="shared" si="3"/>
        <v>6008.3441700282</v>
      </c>
    </row>
    <row r="98" spans="2:7" ht="12">
      <c r="B98" s="25">
        <v>92</v>
      </c>
      <c r="C98" s="5" t="s">
        <v>466</v>
      </c>
      <c r="D98" s="5" t="s">
        <v>467</v>
      </c>
      <c r="E98" s="10">
        <v>194</v>
      </c>
      <c r="F98" s="12">
        <v>8.91</v>
      </c>
      <c r="G98" s="31">
        <f t="shared" si="3"/>
        <v>1728.54</v>
      </c>
    </row>
    <row r="99" spans="2:7" ht="12">
      <c r="B99" s="25">
        <v>93</v>
      </c>
      <c r="C99" s="5" t="s">
        <v>468</v>
      </c>
      <c r="D99" s="5" t="s">
        <v>445</v>
      </c>
      <c r="E99" s="10">
        <v>0.0033</v>
      </c>
      <c r="F99" s="12">
        <v>113797.3716</v>
      </c>
      <c r="G99" s="31">
        <f t="shared" si="3"/>
        <v>375.53132628</v>
      </c>
    </row>
    <row r="100" spans="2:7" ht="12">
      <c r="B100" s="25">
        <v>94</v>
      </c>
      <c r="C100" s="5" t="s">
        <v>469</v>
      </c>
      <c r="D100" s="5" t="s">
        <v>448</v>
      </c>
      <c r="E100" s="10">
        <v>5898.295725</v>
      </c>
      <c r="F100" s="12">
        <v>0</v>
      </c>
      <c r="G100" s="31">
        <f t="shared" si="3"/>
        <v>0</v>
      </c>
    </row>
    <row r="101" spans="2:7" ht="12">
      <c r="B101" s="25">
        <v>95</v>
      </c>
      <c r="C101" s="5" t="s">
        <v>470</v>
      </c>
      <c r="D101" s="5" t="s">
        <v>445</v>
      </c>
      <c r="E101" s="10">
        <v>0.1575</v>
      </c>
      <c r="F101" s="12">
        <v>63546.8427</v>
      </c>
      <c r="G101" s="31">
        <f t="shared" si="3"/>
        <v>10008.62772525</v>
      </c>
    </row>
    <row r="102" spans="2:7" ht="12">
      <c r="B102" s="25">
        <v>96</v>
      </c>
      <c r="C102" s="5" t="s">
        <v>471</v>
      </c>
      <c r="D102" s="5" t="s">
        <v>459</v>
      </c>
      <c r="E102" s="10">
        <v>30</v>
      </c>
      <c r="F102" s="12">
        <v>219.5127</v>
      </c>
      <c r="G102" s="31">
        <f t="shared" si="3"/>
        <v>6585.380999999999</v>
      </c>
    </row>
    <row r="103" spans="2:7" ht="12">
      <c r="B103" s="25">
        <v>97</v>
      </c>
      <c r="C103" s="5" t="s">
        <v>472</v>
      </c>
      <c r="D103" s="5" t="s">
        <v>459</v>
      </c>
      <c r="E103" s="10">
        <v>111.264</v>
      </c>
      <c r="F103" s="12">
        <v>29.967299999999998</v>
      </c>
      <c r="G103" s="31">
        <f t="shared" si="3"/>
        <v>3334.2816671999994</v>
      </c>
    </row>
    <row r="104" spans="2:7" ht="12">
      <c r="B104" s="25">
        <v>98</v>
      </c>
      <c r="C104" s="5" t="s">
        <v>473</v>
      </c>
      <c r="D104" s="5" t="s">
        <v>474</v>
      </c>
      <c r="E104" s="10">
        <v>0.02196</v>
      </c>
      <c r="F104" s="12">
        <v>20047.0842</v>
      </c>
      <c r="G104" s="31">
        <f t="shared" si="3"/>
        <v>440.233969032</v>
      </c>
    </row>
    <row r="105" spans="2:7" ht="12">
      <c r="B105" s="25">
        <v>99</v>
      </c>
      <c r="C105" s="5" t="s">
        <v>475</v>
      </c>
      <c r="D105" s="5" t="s">
        <v>459</v>
      </c>
      <c r="E105" s="10">
        <v>60</v>
      </c>
      <c r="F105" s="12">
        <v>1271.0709000000002</v>
      </c>
      <c r="G105" s="31">
        <f t="shared" si="3"/>
        <v>76264.25400000002</v>
      </c>
    </row>
    <row r="106" spans="2:7" ht="12">
      <c r="B106" s="25">
        <v>100</v>
      </c>
      <c r="C106" s="5" t="s">
        <v>476</v>
      </c>
      <c r="D106" s="5" t="s">
        <v>477</v>
      </c>
      <c r="E106" s="10">
        <v>66.4</v>
      </c>
      <c r="F106" s="12">
        <v>4769.82</v>
      </c>
      <c r="G106" s="31">
        <f t="shared" si="3"/>
        <v>316716.048</v>
      </c>
    </row>
    <row r="107" spans="2:7" ht="12">
      <c r="B107" s="25">
        <v>101</v>
      </c>
      <c r="C107" s="5" t="s">
        <v>478</v>
      </c>
      <c r="D107" s="5" t="s">
        <v>445</v>
      </c>
      <c r="E107" s="10">
        <v>0.12</v>
      </c>
      <c r="F107" s="12">
        <v>69009.20730000001</v>
      </c>
      <c r="G107" s="31">
        <f t="shared" si="3"/>
        <v>8281.104876000001</v>
      </c>
    </row>
    <row r="108" spans="2:7" ht="12">
      <c r="B108" s="25">
        <v>102</v>
      </c>
      <c r="C108" s="5" t="s">
        <v>479</v>
      </c>
      <c r="D108" s="5" t="s">
        <v>445</v>
      </c>
      <c r="E108" s="10">
        <v>0.00099</v>
      </c>
      <c r="F108" s="12">
        <v>62993.759399999995</v>
      </c>
      <c r="G108" s="31">
        <f t="shared" si="3"/>
        <v>62.363821806</v>
      </c>
    </row>
    <row r="109" spans="2:7" ht="12">
      <c r="B109" s="25">
        <v>103</v>
      </c>
      <c r="C109" s="5" t="s">
        <v>480</v>
      </c>
      <c r="D109" s="5" t="s">
        <v>445</v>
      </c>
      <c r="E109" s="10">
        <v>0.00839</v>
      </c>
      <c r="F109" s="12">
        <v>66657.7989</v>
      </c>
      <c r="G109" s="31">
        <f t="shared" si="3"/>
        <v>559.258932771</v>
      </c>
    </row>
    <row r="110" spans="2:7" ht="12">
      <c r="B110" s="25">
        <v>104</v>
      </c>
      <c r="C110" s="5" t="s">
        <v>481</v>
      </c>
      <c r="D110" s="5" t="s">
        <v>445</v>
      </c>
      <c r="E110" s="10">
        <v>0.015544</v>
      </c>
      <c r="F110" s="12">
        <v>55478.8179</v>
      </c>
      <c r="G110" s="31">
        <f t="shared" si="3"/>
        <v>862.3627454376001</v>
      </c>
    </row>
    <row r="111" spans="2:7" ht="12">
      <c r="B111" s="25">
        <v>105</v>
      </c>
      <c r="C111" s="5" t="s">
        <v>482</v>
      </c>
      <c r="D111" s="5" t="s">
        <v>445</v>
      </c>
      <c r="E111" s="10">
        <v>0.0003</v>
      </c>
      <c r="F111" s="12">
        <v>55515.636</v>
      </c>
      <c r="G111" s="31">
        <f t="shared" si="3"/>
        <v>16.654690799999997</v>
      </c>
    </row>
    <row r="112" spans="2:7" ht="12">
      <c r="B112" s="25">
        <v>106</v>
      </c>
      <c r="C112" s="5" t="s">
        <v>483</v>
      </c>
      <c r="D112" s="5" t="s">
        <v>445</v>
      </c>
      <c r="E112" s="10">
        <v>0.002328</v>
      </c>
      <c r="F112" s="12">
        <v>59490.684</v>
      </c>
      <c r="G112" s="31">
        <f t="shared" si="3"/>
        <v>138.494312352</v>
      </c>
    </row>
    <row r="113" spans="2:7" ht="12">
      <c r="B113" s="25">
        <v>107</v>
      </c>
      <c r="C113" s="5" t="s">
        <v>484</v>
      </c>
      <c r="D113" s="5" t="s">
        <v>445</v>
      </c>
      <c r="E113" s="10">
        <v>13.3091</v>
      </c>
      <c r="F113" s="12">
        <v>2937.3399000000004</v>
      </c>
      <c r="G113" s="31">
        <f t="shared" si="3"/>
        <v>39093.350463090006</v>
      </c>
    </row>
    <row r="114" spans="2:7" ht="12">
      <c r="B114" s="25">
        <v>108</v>
      </c>
      <c r="C114" s="5" t="s">
        <v>485</v>
      </c>
      <c r="D114" s="5" t="s">
        <v>486</v>
      </c>
      <c r="E114" s="10">
        <v>101.85</v>
      </c>
      <c r="F114" s="12">
        <v>54.3708</v>
      </c>
      <c r="G114" s="31">
        <f t="shared" si="3"/>
        <v>5537.66598</v>
      </c>
    </row>
    <row r="115" spans="2:7" ht="12">
      <c r="B115" s="25">
        <v>109</v>
      </c>
      <c r="C115" s="5" t="s">
        <v>487</v>
      </c>
      <c r="D115" s="5" t="s">
        <v>459</v>
      </c>
      <c r="E115" s="10">
        <v>30</v>
      </c>
      <c r="F115" s="12">
        <v>2504.7</v>
      </c>
      <c r="G115" s="31">
        <f t="shared" si="3"/>
        <v>75141</v>
      </c>
    </row>
    <row r="116" spans="2:7" ht="12">
      <c r="B116" s="25">
        <v>110</v>
      </c>
      <c r="C116" s="5" t="s">
        <v>488</v>
      </c>
      <c r="D116" s="5" t="s">
        <v>459</v>
      </c>
      <c r="E116" s="10">
        <v>30</v>
      </c>
      <c r="F116" s="12">
        <v>944.46</v>
      </c>
      <c r="G116" s="31">
        <f t="shared" si="3"/>
        <v>28333.800000000003</v>
      </c>
    </row>
    <row r="117" spans="2:7" ht="12">
      <c r="B117" s="25">
        <v>111</v>
      </c>
      <c r="C117" s="5" t="s">
        <v>489</v>
      </c>
      <c r="D117" s="5" t="s">
        <v>459</v>
      </c>
      <c r="E117" s="10">
        <v>30</v>
      </c>
      <c r="F117" s="12">
        <v>1703.9187000000002</v>
      </c>
      <c r="G117" s="31">
        <f t="shared" si="3"/>
        <v>51117.561</v>
      </c>
    </row>
    <row r="118" spans="2:7" ht="24">
      <c r="B118" s="25">
        <v>112</v>
      </c>
      <c r="C118" s="5" t="s">
        <v>490</v>
      </c>
      <c r="D118" s="5" t="s">
        <v>445</v>
      </c>
      <c r="E118" s="10">
        <v>0.0045</v>
      </c>
      <c r="F118" s="12">
        <v>40524.74909999999</v>
      </c>
      <c r="G118" s="31">
        <f t="shared" si="3"/>
        <v>182.36137094999995</v>
      </c>
    </row>
    <row r="119" spans="2:7" ht="12">
      <c r="B119" s="25">
        <v>113</v>
      </c>
      <c r="C119" s="5" t="s">
        <v>491</v>
      </c>
      <c r="D119" s="5" t="s">
        <v>459</v>
      </c>
      <c r="E119" s="10">
        <v>3</v>
      </c>
      <c r="F119" s="12">
        <v>730.62</v>
      </c>
      <c r="G119" s="31">
        <f t="shared" si="3"/>
        <v>2191.86</v>
      </c>
    </row>
    <row r="120" spans="2:7" ht="24">
      <c r="B120" s="25">
        <v>114</v>
      </c>
      <c r="C120" s="5" t="s">
        <v>492</v>
      </c>
      <c r="D120" s="5" t="s">
        <v>448</v>
      </c>
      <c r="E120" s="10">
        <v>0.8145</v>
      </c>
      <c r="F120" s="12">
        <v>2622.0843</v>
      </c>
      <c r="G120" s="31">
        <f t="shared" si="3"/>
        <v>2135.68766235</v>
      </c>
    </row>
    <row r="121" spans="2:7" ht="24">
      <c r="B121" s="25">
        <v>115</v>
      </c>
      <c r="C121" s="5" t="s">
        <v>493</v>
      </c>
      <c r="D121" s="5" t="s">
        <v>448</v>
      </c>
      <c r="E121" s="10">
        <v>7.02</v>
      </c>
      <c r="F121" s="12">
        <v>3692.6901</v>
      </c>
      <c r="G121" s="31">
        <f t="shared" si="3"/>
        <v>25922.684501999996</v>
      </c>
    </row>
    <row r="122" spans="2:7" ht="24">
      <c r="B122" s="25">
        <v>116</v>
      </c>
      <c r="C122" s="5" t="s">
        <v>494</v>
      </c>
      <c r="D122" s="5" t="s">
        <v>474</v>
      </c>
      <c r="E122" s="10">
        <v>7.54</v>
      </c>
      <c r="F122" s="12">
        <v>1648.4390999999998</v>
      </c>
      <c r="G122" s="31">
        <f t="shared" si="3"/>
        <v>12429.230813999999</v>
      </c>
    </row>
    <row r="123" spans="2:7" ht="12">
      <c r="B123" s="25">
        <v>117</v>
      </c>
      <c r="C123" s="5" t="s">
        <v>495</v>
      </c>
      <c r="D123" s="5" t="s">
        <v>448</v>
      </c>
      <c r="E123" s="10">
        <v>6.084</v>
      </c>
      <c r="F123" s="12">
        <v>960.1713</v>
      </c>
      <c r="G123" s="31">
        <f t="shared" si="3"/>
        <v>5841.6821892</v>
      </c>
    </row>
    <row r="124" spans="2:7" ht="24">
      <c r="B124" s="25">
        <v>118</v>
      </c>
      <c r="C124" s="5" t="s">
        <v>496</v>
      </c>
      <c r="D124" s="5" t="s">
        <v>445</v>
      </c>
      <c r="E124" s="10">
        <v>0.01299</v>
      </c>
      <c r="F124" s="12">
        <v>60115.849200000004</v>
      </c>
      <c r="G124" s="31">
        <f t="shared" si="3"/>
        <v>780.904881108</v>
      </c>
    </row>
    <row r="125" spans="2:7" ht="24">
      <c r="B125" s="25">
        <v>119</v>
      </c>
      <c r="C125" s="5" t="s">
        <v>497</v>
      </c>
      <c r="D125" s="5" t="s">
        <v>445</v>
      </c>
      <c r="E125" s="10">
        <v>0.000126</v>
      </c>
      <c r="F125" s="12">
        <v>59428.165499999996</v>
      </c>
      <c r="G125" s="31">
        <f t="shared" si="3"/>
        <v>7.487948853</v>
      </c>
    </row>
    <row r="126" spans="2:7" ht="24">
      <c r="B126" s="25">
        <v>120</v>
      </c>
      <c r="C126" s="5" t="s">
        <v>498</v>
      </c>
      <c r="D126" s="5" t="s">
        <v>445</v>
      </c>
      <c r="E126" s="10">
        <v>0.000105</v>
      </c>
      <c r="F126" s="12">
        <v>58576.3893</v>
      </c>
      <c r="G126" s="31">
        <f t="shared" si="3"/>
        <v>6.150520876500001</v>
      </c>
    </row>
    <row r="127" spans="2:7" ht="12">
      <c r="B127" s="25">
        <v>121</v>
      </c>
      <c r="C127" s="5" t="s">
        <v>499</v>
      </c>
      <c r="D127" s="5" t="s">
        <v>459</v>
      </c>
      <c r="E127" s="10">
        <v>30</v>
      </c>
      <c r="F127" s="12">
        <v>1032.6987000000001</v>
      </c>
      <c r="G127" s="31">
        <f t="shared" si="3"/>
        <v>30980.961000000003</v>
      </c>
    </row>
    <row r="128" spans="2:7" ht="12">
      <c r="B128" s="25">
        <v>122</v>
      </c>
      <c r="C128" s="5" t="s">
        <v>500</v>
      </c>
      <c r="D128" s="5" t="s">
        <v>459</v>
      </c>
      <c r="E128" s="10">
        <v>194</v>
      </c>
      <c r="F128" s="12">
        <v>33.6402</v>
      </c>
      <c r="G128" s="31">
        <f t="shared" si="3"/>
        <v>6526.1988</v>
      </c>
    </row>
    <row r="129" spans="2:7" ht="24">
      <c r="B129" s="25">
        <v>123</v>
      </c>
      <c r="C129" s="5" t="s">
        <v>501</v>
      </c>
      <c r="D129" s="5" t="s">
        <v>459</v>
      </c>
      <c r="E129" s="10">
        <v>30</v>
      </c>
      <c r="F129" s="12">
        <v>1914.4719</v>
      </c>
      <c r="G129" s="31">
        <f t="shared" si="3"/>
        <v>57434.157</v>
      </c>
    </row>
    <row r="130" spans="2:7" ht="12">
      <c r="B130" s="25">
        <v>124</v>
      </c>
      <c r="C130" s="5" t="s">
        <v>502</v>
      </c>
      <c r="D130" s="5" t="s">
        <v>445</v>
      </c>
      <c r="E130" s="10">
        <v>0.0572652</v>
      </c>
      <c r="F130" s="12">
        <v>2949.507</v>
      </c>
      <c r="G130" s="31">
        <f t="shared" si="3"/>
        <v>168.9041082564</v>
      </c>
    </row>
    <row r="131" spans="2:7" ht="12">
      <c r="B131" s="25">
        <v>125</v>
      </c>
      <c r="C131" s="5" t="s">
        <v>503</v>
      </c>
      <c r="D131" s="5" t="s">
        <v>443</v>
      </c>
      <c r="E131" s="10">
        <v>8141.09235</v>
      </c>
      <c r="F131" s="12">
        <v>14.5134</v>
      </c>
      <c r="G131" s="31">
        <f t="shared" si="3"/>
        <v>118154.92971249</v>
      </c>
    </row>
    <row r="132" spans="2:7" ht="12">
      <c r="B132" s="25">
        <v>126</v>
      </c>
      <c r="C132" s="5" t="s">
        <v>504</v>
      </c>
      <c r="D132" s="5" t="s">
        <v>443</v>
      </c>
      <c r="E132" s="10">
        <v>102.576</v>
      </c>
      <c r="F132" s="12">
        <v>189.6444</v>
      </c>
      <c r="G132" s="31">
        <f t="shared" si="3"/>
        <v>19452.963974399998</v>
      </c>
    </row>
    <row r="133" spans="2:7" ht="12">
      <c r="B133" s="25">
        <v>127</v>
      </c>
      <c r="C133" s="5" t="s">
        <v>505</v>
      </c>
      <c r="D133" s="5" t="s">
        <v>506</v>
      </c>
      <c r="E133" s="10">
        <v>1.8</v>
      </c>
      <c r="F133" s="12">
        <v>47.9556</v>
      </c>
      <c r="G133" s="31">
        <f t="shared" si="3"/>
        <v>86.32007999999999</v>
      </c>
    </row>
    <row r="134" spans="2:7" ht="12">
      <c r="B134" s="25">
        <v>128</v>
      </c>
      <c r="C134" s="5" t="s">
        <v>507</v>
      </c>
      <c r="D134" s="5" t="s">
        <v>445</v>
      </c>
      <c r="E134" s="10">
        <v>0.0012</v>
      </c>
      <c r="F134" s="12">
        <v>112065.9903</v>
      </c>
      <c r="G134" s="31">
        <f t="shared" si="3"/>
        <v>134.47918836</v>
      </c>
    </row>
    <row r="135" spans="2:7" ht="12">
      <c r="B135" s="25">
        <v>129</v>
      </c>
      <c r="C135" s="5" t="s">
        <v>508</v>
      </c>
      <c r="D135" s="5" t="s">
        <v>445</v>
      </c>
      <c r="E135" s="10">
        <v>0.0216</v>
      </c>
      <c r="F135" s="12">
        <v>40215.7008</v>
      </c>
      <c r="G135" s="31">
        <f t="shared" si="3"/>
        <v>868.65913728</v>
      </c>
    </row>
    <row r="136" spans="2:7" ht="12">
      <c r="B136" s="25">
        <v>130</v>
      </c>
      <c r="C136" s="5" t="s">
        <v>509</v>
      </c>
      <c r="D136" s="5" t="s">
        <v>445</v>
      </c>
      <c r="E136" s="10">
        <v>0.05024</v>
      </c>
      <c r="F136" s="12">
        <v>41443.1622</v>
      </c>
      <c r="G136" s="31">
        <f t="shared" si="3"/>
        <v>2082.1044689279997</v>
      </c>
    </row>
    <row r="137" spans="2:7" ht="24">
      <c r="B137" s="25">
        <v>131</v>
      </c>
      <c r="C137" s="5" t="s">
        <v>510</v>
      </c>
      <c r="D137" s="5" t="s">
        <v>474</v>
      </c>
      <c r="E137" s="10">
        <v>0.988</v>
      </c>
      <c r="F137" s="12">
        <v>10704.592799999999</v>
      </c>
      <c r="G137" s="31">
        <f t="shared" si="3"/>
        <v>10576.137686399998</v>
      </c>
    </row>
    <row r="138" spans="2:7" ht="12">
      <c r="B138" s="25">
        <v>132</v>
      </c>
      <c r="C138" s="5" t="s">
        <v>511</v>
      </c>
      <c r="D138" s="5" t="s">
        <v>448</v>
      </c>
      <c r="E138" s="10">
        <v>14.5761</v>
      </c>
      <c r="F138" s="12">
        <v>38.134800000000006</v>
      </c>
      <c r="G138" s="31">
        <f t="shared" si="3"/>
        <v>555.8566582800001</v>
      </c>
    </row>
    <row r="139" spans="2:7" ht="12">
      <c r="B139" s="25">
        <v>133</v>
      </c>
      <c r="C139" s="5" t="s">
        <v>512</v>
      </c>
      <c r="D139" s="5" t="s">
        <v>443</v>
      </c>
      <c r="E139" s="10">
        <v>6</v>
      </c>
      <c r="F139" s="12">
        <v>123.09660000000001</v>
      </c>
      <c r="G139" s="31">
        <f t="shared" si="3"/>
        <v>738.5796</v>
      </c>
    </row>
    <row r="140" spans="2:7" ht="12">
      <c r="B140" s="25">
        <v>134</v>
      </c>
      <c r="C140" s="5" t="s">
        <v>513</v>
      </c>
      <c r="D140" s="5" t="s">
        <v>445</v>
      </c>
      <c r="E140" s="10">
        <v>0.05802296</v>
      </c>
      <c r="F140" s="12">
        <v>179292.6234</v>
      </c>
      <c r="G140" s="31">
        <f t="shared" si="3"/>
        <v>10403.088715833264</v>
      </c>
    </row>
    <row r="141" spans="2:7" ht="12">
      <c r="B141" s="25">
        <v>135</v>
      </c>
      <c r="C141" s="5" t="s">
        <v>514</v>
      </c>
      <c r="D141" s="5" t="s">
        <v>443</v>
      </c>
      <c r="E141" s="10">
        <v>1.854</v>
      </c>
      <c r="F141" s="12">
        <v>48.5496</v>
      </c>
      <c r="G141" s="31">
        <f t="shared" si="3"/>
        <v>90.0109584</v>
      </c>
    </row>
    <row r="142" spans="2:7" ht="12">
      <c r="B142" s="25">
        <v>136</v>
      </c>
      <c r="C142" s="5" t="s">
        <v>515</v>
      </c>
      <c r="D142" s="5" t="s">
        <v>443</v>
      </c>
      <c r="E142" s="10">
        <v>814.218</v>
      </c>
      <c r="F142" s="12">
        <v>55.2222</v>
      </c>
      <c r="G142" s="31">
        <f aca="true" t="shared" si="4" ref="G142:G205">E142*F142</f>
        <v>44962.9092396</v>
      </c>
    </row>
    <row r="143" spans="2:7" ht="12">
      <c r="B143" s="25">
        <v>137</v>
      </c>
      <c r="C143" s="5" t="s">
        <v>516</v>
      </c>
      <c r="D143" s="5" t="s">
        <v>459</v>
      </c>
      <c r="E143" s="10">
        <v>24</v>
      </c>
      <c r="F143" s="12">
        <v>30.0762</v>
      </c>
      <c r="G143" s="31">
        <f t="shared" si="4"/>
        <v>721.8288</v>
      </c>
    </row>
    <row r="144" spans="2:7" ht="12">
      <c r="B144" s="25">
        <v>138</v>
      </c>
      <c r="C144" s="5" t="s">
        <v>517</v>
      </c>
      <c r="D144" s="5" t="s">
        <v>477</v>
      </c>
      <c r="E144" s="10">
        <v>5</v>
      </c>
      <c r="F144" s="12">
        <v>501.83099999999996</v>
      </c>
      <c r="G144" s="31">
        <f t="shared" si="4"/>
        <v>2509.1549999999997</v>
      </c>
    </row>
    <row r="145" spans="2:7" ht="12">
      <c r="B145" s="25">
        <v>139</v>
      </c>
      <c r="C145" s="5" t="s">
        <v>518</v>
      </c>
      <c r="D145" s="5" t="s">
        <v>459</v>
      </c>
      <c r="E145" s="10">
        <v>3</v>
      </c>
      <c r="F145" s="12">
        <v>111.0384</v>
      </c>
      <c r="G145" s="31">
        <f t="shared" si="4"/>
        <v>333.11519999999996</v>
      </c>
    </row>
    <row r="146" spans="2:7" ht="24">
      <c r="B146" s="25">
        <v>140</v>
      </c>
      <c r="C146" s="5" t="s">
        <v>519</v>
      </c>
      <c r="D146" s="5" t="s">
        <v>445</v>
      </c>
      <c r="E146" s="10">
        <v>0.014881</v>
      </c>
      <c r="F146" s="12">
        <v>0</v>
      </c>
      <c r="G146" s="31">
        <f t="shared" si="4"/>
        <v>0</v>
      </c>
    </row>
    <row r="147" spans="2:7" ht="12">
      <c r="B147" s="25">
        <v>141</v>
      </c>
      <c r="C147" s="5" t="s">
        <v>520</v>
      </c>
      <c r="D147" s="5" t="s">
        <v>445</v>
      </c>
      <c r="E147" s="10">
        <v>0.027115</v>
      </c>
      <c r="F147" s="12">
        <v>40808.7009</v>
      </c>
      <c r="G147" s="31">
        <f t="shared" si="4"/>
        <v>1106.5279249035002</v>
      </c>
    </row>
    <row r="148" spans="2:7" ht="12">
      <c r="B148" s="25">
        <v>142</v>
      </c>
      <c r="C148" s="5" t="s">
        <v>521</v>
      </c>
      <c r="D148" s="5" t="s">
        <v>445</v>
      </c>
      <c r="E148" s="10">
        <v>0.161325</v>
      </c>
      <c r="F148" s="12">
        <v>51821.6589</v>
      </c>
      <c r="G148" s="31">
        <f t="shared" si="4"/>
        <v>8360.129122042501</v>
      </c>
    </row>
    <row r="149" spans="2:7" ht="12">
      <c r="B149" s="25">
        <v>143</v>
      </c>
      <c r="C149" s="5" t="s">
        <v>522</v>
      </c>
      <c r="D149" s="5" t="s">
        <v>445</v>
      </c>
      <c r="E149" s="10">
        <v>0.0279</v>
      </c>
      <c r="F149" s="12">
        <v>62830.9539</v>
      </c>
      <c r="G149" s="31">
        <f t="shared" si="4"/>
        <v>1752.9836138100002</v>
      </c>
    </row>
    <row r="150" spans="2:7" ht="24">
      <c r="B150" s="25">
        <v>144</v>
      </c>
      <c r="C150" s="5" t="s">
        <v>523</v>
      </c>
      <c r="D150" s="5" t="s">
        <v>445</v>
      </c>
      <c r="E150" s="10">
        <v>0.170057</v>
      </c>
      <c r="F150" s="12">
        <v>37899.7938</v>
      </c>
      <c r="G150" s="31">
        <f t="shared" si="4"/>
        <v>6445.1252342466005</v>
      </c>
    </row>
    <row r="151" spans="2:7" ht="24">
      <c r="B151" s="25">
        <v>145</v>
      </c>
      <c r="C151" s="5" t="s">
        <v>524</v>
      </c>
      <c r="D151" s="5" t="s">
        <v>445</v>
      </c>
      <c r="E151" s="10">
        <v>0.038151</v>
      </c>
      <c r="F151" s="12">
        <v>47287.647000000004</v>
      </c>
      <c r="G151" s="31">
        <f t="shared" si="4"/>
        <v>1804.071020697</v>
      </c>
    </row>
    <row r="152" spans="2:7" ht="12">
      <c r="B152" s="25">
        <v>146</v>
      </c>
      <c r="C152" s="5" t="s">
        <v>525</v>
      </c>
      <c r="D152" s="5" t="s">
        <v>445</v>
      </c>
      <c r="E152" s="10">
        <v>0.42780942</v>
      </c>
      <c r="F152" s="12">
        <v>35605.538100000005</v>
      </c>
      <c r="G152" s="31">
        <f t="shared" si="4"/>
        <v>15232.384603348904</v>
      </c>
    </row>
    <row r="153" spans="2:7" ht="12">
      <c r="B153" s="25">
        <v>147</v>
      </c>
      <c r="C153" s="5" t="s">
        <v>526</v>
      </c>
      <c r="D153" s="5" t="s">
        <v>506</v>
      </c>
      <c r="E153" s="10">
        <v>9.3</v>
      </c>
      <c r="F153" s="12">
        <v>28.0665</v>
      </c>
      <c r="G153" s="31">
        <f t="shared" si="4"/>
        <v>261.01845000000003</v>
      </c>
    </row>
    <row r="154" spans="2:7" ht="12">
      <c r="B154" s="25">
        <v>148</v>
      </c>
      <c r="C154" s="5" t="s">
        <v>527</v>
      </c>
      <c r="D154" s="5" t="s">
        <v>443</v>
      </c>
      <c r="E154" s="10">
        <v>1024.104</v>
      </c>
      <c r="F154" s="12">
        <v>38.0061</v>
      </c>
      <c r="G154" s="31">
        <f t="shared" si="4"/>
        <v>38922.19903440001</v>
      </c>
    </row>
    <row r="155" spans="2:7" ht="12">
      <c r="B155" s="25">
        <v>149</v>
      </c>
      <c r="C155" s="5" t="s">
        <v>528</v>
      </c>
      <c r="D155" s="5" t="s">
        <v>445</v>
      </c>
      <c r="E155" s="10">
        <v>0.00016126</v>
      </c>
      <c r="F155" s="12">
        <v>96450.06689999999</v>
      </c>
      <c r="G155" s="31">
        <f t="shared" si="4"/>
        <v>15.553537788294</v>
      </c>
    </row>
    <row r="156" spans="2:7" ht="12">
      <c r="B156" s="25">
        <v>150</v>
      </c>
      <c r="C156" s="5" t="s">
        <v>529</v>
      </c>
      <c r="D156" s="5" t="s">
        <v>445</v>
      </c>
      <c r="E156" s="10">
        <v>0.0018</v>
      </c>
      <c r="F156" s="12">
        <v>24271.9983</v>
      </c>
      <c r="G156" s="31">
        <f t="shared" si="4"/>
        <v>43.689596939999994</v>
      </c>
    </row>
    <row r="157" spans="2:7" ht="12">
      <c r="B157" s="25">
        <v>151</v>
      </c>
      <c r="C157" s="5" t="s">
        <v>530</v>
      </c>
      <c r="D157" s="5" t="s">
        <v>459</v>
      </c>
      <c r="E157" s="10">
        <v>1500</v>
      </c>
      <c r="F157" s="12">
        <v>9.405</v>
      </c>
      <c r="G157" s="31">
        <f t="shared" si="4"/>
        <v>14107.499999999998</v>
      </c>
    </row>
    <row r="158" spans="2:7" ht="12">
      <c r="B158" s="25">
        <v>152</v>
      </c>
      <c r="C158" s="5" t="s">
        <v>531</v>
      </c>
      <c r="D158" s="5" t="s">
        <v>477</v>
      </c>
      <c r="E158" s="10">
        <v>91.2</v>
      </c>
      <c r="F158" s="12">
        <v>144.8073</v>
      </c>
      <c r="G158" s="31">
        <f t="shared" si="4"/>
        <v>13206.42576</v>
      </c>
    </row>
    <row r="159" spans="2:7" ht="12">
      <c r="B159" s="25">
        <v>153</v>
      </c>
      <c r="C159" s="5" t="s">
        <v>532</v>
      </c>
      <c r="D159" s="5" t="s">
        <v>443</v>
      </c>
      <c r="E159" s="10">
        <v>0.0124</v>
      </c>
      <c r="F159" s="12">
        <v>48.4605</v>
      </c>
      <c r="G159" s="31">
        <f t="shared" si="4"/>
        <v>0.6009102000000001</v>
      </c>
    </row>
    <row r="160" spans="2:7" ht="24">
      <c r="B160" s="25">
        <v>154</v>
      </c>
      <c r="C160" s="5" t="s">
        <v>533</v>
      </c>
      <c r="D160" s="5" t="s">
        <v>443</v>
      </c>
      <c r="E160" s="10">
        <v>230.04</v>
      </c>
      <c r="F160" s="12">
        <v>107.9991</v>
      </c>
      <c r="G160" s="31">
        <f t="shared" si="4"/>
        <v>24844.112964</v>
      </c>
    </row>
    <row r="161" spans="2:7" ht="12">
      <c r="B161" s="25">
        <v>155</v>
      </c>
      <c r="C161" s="5" t="s">
        <v>534</v>
      </c>
      <c r="D161" s="5" t="s">
        <v>443</v>
      </c>
      <c r="E161" s="10">
        <v>291</v>
      </c>
      <c r="F161" s="12">
        <v>55.242</v>
      </c>
      <c r="G161" s="31">
        <f t="shared" si="4"/>
        <v>16075.421999999999</v>
      </c>
    </row>
    <row r="162" spans="2:7" ht="24">
      <c r="B162" s="25">
        <v>156</v>
      </c>
      <c r="C162" s="5" t="s">
        <v>535</v>
      </c>
      <c r="D162" s="5" t="s">
        <v>445</v>
      </c>
      <c r="E162" s="10">
        <v>0.003</v>
      </c>
      <c r="F162" s="12">
        <v>251740.99169999998</v>
      </c>
      <c r="G162" s="31">
        <f t="shared" si="4"/>
        <v>755.2229751</v>
      </c>
    </row>
    <row r="163" spans="2:7" ht="12">
      <c r="B163" s="25">
        <v>157</v>
      </c>
      <c r="C163" s="5" t="s">
        <v>536</v>
      </c>
      <c r="D163" s="5" t="s">
        <v>537</v>
      </c>
      <c r="E163" s="10">
        <v>1.5</v>
      </c>
      <c r="F163" s="12">
        <v>209.73149999999998</v>
      </c>
      <c r="G163" s="31">
        <f t="shared" si="4"/>
        <v>314.59725</v>
      </c>
    </row>
    <row r="164" spans="2:7" ht="12">
      <c r="B164" s="25">
        <v>158</v>
      </c>
      <c r="C164" s="5" t="s">
        <v>538</v>
      </c>
      <c r="D164" s="5" t="s">
        <v>443</v>
      </c>
      <c r="E164" s="10">
        <v>4.38</v>
      </c>
      <c r="F164" s="12">
        <v>95.139</v>
      </c>
      <c r="G164" s="31">
        <f t="shared" si="4"/>
        <v>416.70881999999995</v>
      </c>
    </row>
    <row r="165" spans="2:7" ht="12">
      <c r="B165" s="25">
        <v>159</v>
      </c>
      <c r="C165" s="5" t="s">
        <v>539</v>
      </c>
      <c r="D165" s="5" t="s">
        <v>445</v>
      </c>
      <c r="E165" s="10">
        <v>0.00045</v>
      </c>
      <c r="F165" s="12">
        <v>47196.27</v>
      </c>
      <c r="G165" s="31">
        <f t="shared" si="4"/>
        <v>21.238321499999998</v>
      </c>
    </row>
    <row r="166" spans="2:7" ht="12">
      <c r="B166" s="25">
        <v>160</v>
      </c>
      <c r="C166" s="5" t="s">
        <v>540</v>
      </c>
      <c r="D166" s="5" t="s">
        <v>445</v>
      </c>
      <c r="E166" s="10">
        <v>8.56354</v>
      </c>
      <c r="F166" s="12">
        <v>20250.1134</v>
      </c>
      <c r="G166" s="31">
        <f t="shared" si="4"/>
        <v>173412.65610543598</v>
      </c>
    </row>
    <row r="167" spans="2:7" ht="12">
      <c r="B167" s="25">
        <v>161</v>
      </c>
      <c r="C167" s="5" t="s">
        <v>541</v>
      </c>
      <c r="D167" s="5" t="s">
        <v>445</v>
      </c>
      <c r="E167" s="10">
        <v>0.072</v>
      </c>
      <c r="F167" s="12">
        <v>30598.6428</v>
      </c>
      <c r="G167" s="31">
        <f t="shared" si="4"/>
        <v>2203.1022816</v>
      </c>
    </row>
    <row r="168" spans="2:7" ht="12">
      <c r="B168" s="25">
        <v>162</v>
      </c>
      <c r="C168" s="5" t="s">
        <v>542</v>
      </c>
      <c r="D168" s="5" t="s">
        <v>445</v>
      </c>
      <c r="E168" s="10">
        <v>0.0093</v>
      </c>
      <c r="F168" s="12">
        <v>32088.8304</v>
      </c>
      <c r="G168" s="31">
        <f t="shared" si="4"/>
        <v>298.42612271999997</v>
      </c>
    </row>
    <row r="169" spans="2:7" ht="12">
      <c r="B169" s="25">
        <v>163</v>
      </c>
      <c r="C169" s="5" t="s">
        <v>543</v>
      </c>
      <c r="D169" s="5" t="s">
        <v>443</v>
      </c>
      <c r="E169" s="10">
        <v>195</v>
      </c>
      <c r="F169" s="12">
        <v>76.63589999999999</v>
      </c>
      <c r="G169" s="31">
        <f t="shared" si="4"/>
        <v>14944.000499999998</v>
      </c>
    </row>
    <row r="170" spans="2:7" ht="12">
      <c r="B170" s="25">
        <v>164</v>
      </c>
      <c r="C170" s="5" t="s">
        <v>544</v>
      </c>
      <c r="D170" s="5" t="s">
        <v>443</v>
      </c>
      <c r="E170" s="10">
        <v>313.5</v>
      </c>
      <c r="F170" s="12">
        <v>182.7045</v>
      </c>
      <c r="G170" s="31">
        <f t="shared" si="4"/>
        <v>57277.86075</v>
      </c>
    </row>
    <row r="171" spans="2:7" ht="12">
      <c r="B171" s="25">
        <v>165</v>
      </c>
      <c r="C171" s="5" t="s">
        <v>545</v>
      </c>
      <c r="D171" s="5" t="s">
        <v>448</v>
      </c>
      <c r="E171" s="10">
        <v>1.1873</v>
      </c>
      <c r="F171" s="12">
        <v>8704.0602</v>
      </c>
      <c r="G171" s="31">
        <f t="shared" si="4"/>
        <v>10334.33067546</v>
      </c>
    </row>
    <row r="172" spans="2:7" ht="24">
      <c r="B172" s="25">
        <v>166</v>
      </c>
      <c r="C172" s="5" t="s">
        <v>546</v>
      </c>
      <c r="D172" s="5" t="s">
        <v>448</v>
      </c>
      <c r="E172" s="10">
        <v>10.0346</v>
      </c>
      <c r="F172" s="12">
        <v>14280.056999999999</v>
      </c>
      <c r="G172" s="31">
        <f t="shared" si="4"/>
        <v>143294.65997219997</v>
      </c>
    </row>
    <row r="173" spans="2:7" ht="12">
      <c r="B173" s="25">
        <v>167</v>
      </c>
      <c r="C173" s="5" t="s">
        <v>547</v>
      </c>
      <c r="D173" s="5" t="s">
        <v>445</v>
      </c>
      <c r="E173" s="10">
        <v>0.005152</v>
      </c>
      <c r="F173" s="12">
        <v>4194.2835</v>
      </c>
      <c r="G173" s="31">
        <f t="shared" si="4"/>
        <v>21.608948591999997</v>
      </c>
    </row>
    <row r="174" spans="2:7" ht="12">
      <c r="B174" s="25">
        <v>168</v>
      </c>
      <c r="C174" s="5" t="s">
        <v>548</v>
      </c>
      <c r="D174" s="5" t="s">
        <v>445</v>
      </c>
      <c r="E174" s="10">
        <v>0.07812</v>
      </c>
      <c r="F174" s="12">
        <v>38604.7728</v>
      </c>
      <c r="G174" s="31">
        <f t="shared" si="4"/>
        <v>3015.804851136</v>
      </c>
    </row>
    <row r="175" spans="2:7" ht="12">
      <c r="B175" s="25">
        <v>169</v>
      </c>
      <c r="C175" s="5" t="s">
        <v>549</v>
      </c>
      <c r="D175" s="5" t="s">
        <v>474</v>
      </c>
      <c r="E175" s="10">
        <v>12.221174</v>
      </c>
      <c r="F175" s="12">
        <v>2514.6</v>
      </c>
      <c r="G175" s="31">
        <f t="shared" si="4"/>
        <v>30731.364140399997</v>
      </c>
    </row>
    <row r="176" spans="2:7" ht="12">
      <c r="B176" s="25">
        <v>170</v>
      </c>
      <c r="C176" s="5" t="s">
        <v>550</v>
      </c>
      <c r="D176" s="5" t="s">
        <v>443</v>
      </c>
      <c r="E176" s="10">
        <v>4003.9429</v>
      </c>
      <c r="F176" s="12">
        <v>114.85979999999999</v>
      </c>
      <c r="G176" s="31">
        <f t="shared" si="4"/>
        <v>459892.08070542</v>
      </c>
    </row>
    <row r="177" spans="2:7" ht="12">
      <c r="B177" s="25">
        <v>171</v>
      </c>
      <c r="C177" s="5" t="s">
        <v>551</v>
      </c>
      <c r="D177" s="5" t="s">
        <v>443</v>
      </c>
      <c r="E177" s="10">
        <v>76.53686</v>
      </c>
      <c r="F177" s="12">
        <v>44.55</v>
      </c>
      <c r="G177" s="31">
        <f t="shared" si="4"/>
        <v>3409.717113</v>
      </c>
    </row>
    <row r="178" spans="2:7" ht="12">
      <c r="B178" s="25">
        <v>172</v>
      </c>
      <c r="C178" s="5" t="s">
        <v>552</v>
      </c>
      <c r="D178" s="5" t="s">
        <v>459</v>
      </c>
      <c r="E178" s="10">
        <v>45.264</v>
      </c>
      <c r="F178" s="12">
        <v>9.7317</v>
      </c>
      <c r="G178" s="31">
        <f t="shared" si="4"/>
        <v>440.49566880000003</v>
      </c>
    </row>
    <row r="179" spans="2:7" ht="24">
      <c r="B179" s="25">
        <v>173</v>
      </c>
      <c r="C179" s="5" t="s">
        <v>553</v>
      </c>
      <c r="D179" s="5" t="s">
        <v>445</v>
      </c>
      <c r="E179" s="10">
        <v>0.00543</v>
      </c>
      <c r="F179" s="12">
        <v>222694.88669999997</v>
      </c>
      <c r="G179" s="31">
        <f t="shared" si="4"/>
        <v>1209.2332347809997</v>
      </c>
    </row>
    <row r="180" spans="2:7" ht="12">
      <c r="B180" s="25">
        <v>174</v>
      </c>
      <c r="C180" s="5" t="s">
        <v>554</v>
      </c>
      <c r="D180" s="5" t="s">
        <v>459</v>
      </c>
      <c r="E180" s="10">
        <v>24</v>
      </c>
      <c r="F180" s="12">
        <v>44.2728</v>
      </c>
      <c r="G180" s="31">
        <f t="shared" si="4"/>
        <v>1062.5472</v>
      </c>
    </row>
    <row r="181" spans="2:7" ht="12">
      <c r="B181" s="25">
        <v>175</v>
      </c>
      <c r="C181" s="5" t="s">
        <v>555</v>
      </c>
      <c r="D181" s="5" t="s">
        <v>445</v>
      </c>
      <c r="E181" s="10">
        <v>0.0006</v>
      </c>
      <c r="F181" s="12">
        <v>14741.2287</v>
      </c>
      <c r="G181" s="31">
        <f t="shared" si="4"/>
        <v>8.844737219999999</v>
      </c>
    </row>
    <row r="182" spans="2:7" ht="12">
      <c r="B182" s="25">
        <v>176</v>
      </c>
      <c r="C182" s="5" t="s">
        <v>556</v>
      </c>
      <c r="D182" s="5" t="s">
        <v>445</v>
      </c>
      <c r="E182" s="10">
        <v>0.426184</v>
      </c>
      <c r="F182" s="12">
        <v>62968.8708</v>
      </c>
      <c r="G182" s="31">
        <f t="shared" si="4"/>
        <v>26836.3252330272</v>
      </c>
    </row>
    <row r="183" spans="2:7" ht="12">
      <c r="B183" s="25">
        <v>177</v>
      </c>
      <c r="C183" s="5" t="s">
        <v>557</v>
      </c>
      <c r="D183" s="5" t="s">
        <v>443</v>
      </c>
      <c r="E183" s="10">
        <v>727.46476</v>
      </c>
      <c r="F183" s="12">
        <v>68.4486</v>
      </c>
      <c r="G183" s="31">
        <f t="shared" si="4"/>
        <v>49793.944371335994</v>
      </c>
    </row>
    <row r="184" spans="2:7" ht="12">
      <c r="B184" s="25">
        <v>178</v>
      </c>
      <c r="C184" s="5" t="s">
        <v>558</v>
      </c>
      <c r="D184" s="5" t="s">
        <v>448</v>
      </c>
      <c r="E184" s="10">
        <v>0.105</v>
      </c>
      <c r="F184" s="12">
        <v>698.1975</v>
      </c>
      <c r="G184" s="31">
        <f t="shared" si="4"/>
        <v>73.3107375</v>
      </c>
    </row>
    <row r="185" spans="2:7" ht="12">
      <c r="B185" s="25">
        <v>179</v>
      </c>
      <c r="C185" s="5" t="s">
        <v>559</v>
      </c>
      <c r="D185" s="5" t="s">
        <v>443</v>
      </c>
      <c r="E185" s="10">
        <v>13.544</v>
      </c>
      <c r="F185" s="12">
        <v>48.4605</v>
      </c>
      <c r="G185" s="31">
        <f t="shared" si="4"/>
        <v>656.349012</v>
      </c>
    </row>
    <row r="186" spans="2:7" ht="12">
      <c r="B186" s="25">
        <v>180</v>
      </c>
      <c r="C186" s="5" t="s">
        <v>560</v>
      </c>
      <c r="D186" s="5" t="s">
        <v>459</v>
      </c>
      <c r="E186" s="10">
        <v>30</v>
      </c>
      <c r="F186" s="12">
        <v>173.745</v>
      </c>
      <c r="G186" s="31">
        <f t="shared" si="4"/>
        <v>5212.35</v>
      </c>
    </row>
    <row r="187" spans="2:7" ht="12">
      <c r="B187" s="25">
        <v>181</v>
      </c>
      <c r="C187" s="5" t="s">
        <v>561</v>
      </c>
      <c r="D187" s="5" t="s">
        <v>443</v>
      </c>
      <c r="E187" s="10">
        <v>21.105</v>
      </c>
      <c r="F187" s="12">
        <v>27.2151</v>
      </c>
      <c r="G187" s="31">
        <f t="shared" si="4"/>
        <v>574.3746855</v>
      </c>
    </row>
    <row r="188" spans="2:7" ht="12">
      <c r="B188" s="25">
        <v>182</v>
      </c>
      <c r="C188" s="5" t="s">
        <v>562</v>
      </c>
      <c r="D188" s="5" t="s">
        <v>445</v>
      </c>
      <c r="E188" s="10">
        <v>0.0059</v>
      </c>
      <c r="F188" s="12">
        <v>123112.47959999999</v>
      </c>
      <c r="G188" s="31">
        <f t="shared" si="4"/>
        <v>726.3636296399999</v>
      </c>
    </row>
    <row r="189" spans="2:7" ht="12">
      <c r="B189" s="25">
        <v>183</v>
      </c>
      <c r="C189" s="5" t="s">
        <v>563</v>
      </c>
      <c r="D189" s="5" t="s">
        <v>445</v>
      </c>
      <c r="E189" s="10">
        <v>6.71781492</v>
      </c>
      <c r="F189" s="12">
        <v>5756.6223</v>
      </c>
      <c r="G189" s="31">
        <f t="shared" si="4"/>
        <v>38671.92317574472</v>
      </c>
    </row>
    <row r="190" spans="2:7" ht="12">
      <c r="B190" s="25">
        <v>184</v>
      </c>
      <c r="C190" s="5" t="s">
        <v>564</v>
      </c>
      <c r="D190" s="5" t="s">
        <v>459</v>
      </c>
      <c r="E190" s="10">
        <v>516</v>
      </c>
      <c r="F190" s="12">
        <v>17.6814</v>
      </c>
      <c r="G190" s="31">
        <f t="shared" si="4"/>
        <v>9123.6024</v>
      </c>
    </row>
    <row r="191" spans="2:7" ht="24">
      <c r="B191" s="25">
        <v>185</v>
      </c>
      <c r="C191" s="5" t="s">
        <v>565</v>
      </c>
      <c r="D191" s="5" t="s">
        <v>448</v>
      </c>
      <c r="E191" s="10">
        <v>0.06404686</v>
      </c>
      <c r="F191" s="12">
        <v>697.4352</v>
      </c>
      <c r="G191" s="31">
        <f t="shared" si="4"/>
        <v>44.668534613472</v>
      </c>
    </row>
    <row r="192" spans="2:7" ht="12">
      <c r="B192" s="25">
        <v>186</v>
      </c>
      <c r="C192" s="5" t="s">
        <v>566</v>
      </c>
      <c r="D192" s="5" t="s">
        <v>459</v>
      </c>
      <c r="E192" s="10">
        <v>30</v>
      </c>
      <c r="F192" s="12">
        <v>12275.1387</v>
      </c>
      <c r="G192" s="31">
        <f t="shared" si="4"/>
        <v>368254.16099999996</v>
      </c>
    </row>
    <row r="193" spans="2:7" ht="12">
      <c r="B193" s="25">
        <v>187</v>
      </c>
      <c r="C193" s="5" t="s">
        <v>567</v>
      </c>
      <c r="D193" s="5" t="s">
        <v>445</v>
      </c>
      <c r="E193" s="10">
        <v>3.576</v>
      </c>
      <c r="F193" s="12">
        <v>37671.3711</v>
      </c>
      <c r="G193" s="31">
        <f t="shared" si="4"/>
        <v>134712.8230536</v>
      </c>
    </row>
    <row r="194" spans="2:7" ht="12">
      <c r="B194" s="25">
        <v>188</v>
      </c>
      <c r="C194" s="5" t="s">
        <v>568</v>
      </c>
      <c r="D194" s="5" t="s">
        <v>448</v>
      </c>
      <c r="E194" s="10">
        <v>29.23</v>
      </c>
      <c r="F194" s="12">
        <v>850.3208999999999</v>
      </c>
      <c r="G194" s="31">
        <f t="shared" si="4"/>
        <v>24854.879907</v>
      </c>
    </row>
    <row r="195" spans="2:7" ht="12">
      <c r="B195" s="25">
        <v>189</v>
      </c>
      <c r="C195" s="5" t="s">
        <v>569</v>
      </c>
      <c r="D195" s="5" t="s">
        <v>459</v>
      </c>
      <c r="E195" s="10">
        <v>60</v>
      </c>
      <c r="F195" s="12">
        <v>13.5036</v>
      </c>
      <c r="G195" s="31">
        <f t="shared" si="4"/>
        <v>810.216</v>
      </c>
    </row>
    <row r="196" spans="2:7" ht="12">
      <c r="B196" s="25">
        <v>190</v>
      </c>
      <c r="C196" s="5" t="s">
        <v>570</v>
      </c>
      <c r="D196" s="5" t="s">
        <v>459</v>
      </c>
      <c r="E196" s="10">
        <v>60</v>
      </c>
      <c r="F196" s="12">
        <v>41.411699999999996</v>
      </c>
      <c r="G196" s="31">
        <f t="shared" si="4"/>
        <v>2484.7019999999998</v>
      </c>
    </row>
    <row r="197" spans="2:7" ht="12">
      <c r="B197" s="25">
        <v>191</v>
      </c>
      <c r="C197" s="5" t="s">
        <v>571</v>
      </c>
      <c r="D197" s="5" t="s">
        <v>443</v>
      </c>
      <c r="E197" s="10">
        <v>30.18497</v>
      </c>
      <c r="F197" s="12">
        <v>108.11789999999999</v>
      </c>
      <c r="G197" s="31">
        <f t="shared" si="4"/>
        <v>3263.5355679629997</v>
      </c>
    </row>
    <row r="198" spans="2:7" ht="12">
      <c r="B198" s="25">
        <v>192</v>
      </c>
      <c r="C198" s="5" t="s">
        <v>572</v>
      </c>
      <c r="D198" s="5" t="s">
        <v>506</v>
      </c>
      <c r="E198" s="10">
        <v>10.7</v>
      </c>
      <c r="F198" s="12">
        <v>1772.7237</v>
      </c>
      <c r="G198" s="31">
        <f t="shared" si="4"/>
        <v>18968.14359</v>
      </c>
    </row>
    <row r="199" spans="2:7" ht="24">
      <c r="B199" s="25">
        <v>193</v>
      </c>
      <c r="C199" s="5" t="s">
        <v>573</v>
      </c>
      <c r="D199" s="5" t="s">
        <v>506</v>
      </c>
      <c r="E199" s="10">
        <v>27</v>
      </c>
      <c r="F199" s="12">
        <v>265.9734</v>
      </c>
      <c r="G199" s="31">
        <f t="shared" si="4"/>
        <v>7181.281800000001</v>
      </c>
    </row>
    <row r="200" spans="2:7" ht="24">
      <c r="B200" s="25">
        <v>194</v>
      </c>
      <c r="C200" s="5" t="s">
        <v>574</v>
      </c>
      <c r="D200" s="5" t="s">
        <v>443</v>
      </c>
      <c r="E200" s="10">
        <v>0.558</v>
      </c>
      <c r="F200" s="12">
        <v>57.1032</v>
      </c>
      <c r="G200" s="31">
        <f t="shared" si="4"/>
        <v>31.863585600000004</v>
      </c>
    </row>
    <row r="201" spans="2:7" ht="12">
      <c r="B201" s="25">
        <v>195</v>
      </c>
      <c r="C201" s="5" t="s">
        <v>575</v>
      </c>
      <c r="D201" s="5" t="s">
        <v>22</v>
      </c>
      <c r="E201" s="10">
        <v>24</v>
      </c>
      <c r="F201" s="12">
        <v>18.6318</v>
      </c>
      <c r="G201" s="31">
        <f t="shared" si="4"/>
        <v>447.16319999999996</v>
      </c>
    </row>
    <row r="202" spans="2:7" ht="24">
      <c r="B202" s="25">
        <v>196</v>
      </c>
      <c r="C202" s="5" t="s">
        <v>576</v>
      </c>
      <c r="D202" s="5" t="s">
        <v>445</v>
      </c>
      <c r="E202" s="10">
        <v>0.05802</v>
      </c>
      <c r="F202" s="12">
        <v>4282.641</v>
      </c>
      <c r="G202" s="31">
        <f t="shared" si="4"/>
        <v>248.47883081999998</v>
      </c>
    </row>
    <row r="203" spans="2:7" ht="12">
      <c r="B203" s="25">
        <v>197</v>
      </c>
      <c r="C203" s="5" t="s">
        <v>577</v>
      </c>
      <c r="D203" s="5" t="s">
        <v>445</v>
      </c>
      <c r="E203" s="10">
        <v>0.6894</v>
      </c>
      <c r="F203" s="12">
        <v>3315.2031</v>
      </c>
      <c r="G203" s="31">
        <f t="shared" si="4"/>
        <v>2285.5010171400004</v>
      </c>
    </row>
    <row r="204" spans="2:7" ht="12">
      <c r="B204" s="25">
        <v>198</v>
      </c>
      <c r="C204" s="5" t="s">
        <v>578</v>
      </c>
      <c r="D204" s="5" t="s">
        <v>445</v>
      </c>
      <c r="E204" s="10">
        <v>0.0018</v>
      </c>
      <c r="F204" s="12">
        <v>37352.5317</v>
      </c>
      <c r="G204" s="31">
        <f t="shared" si="4"/>
        <v>67.23455706</v>
      </c>
    </row>
    <row r="205" spans="2:7" ht="12">
      <c r="B205" s="25">
        <v>199</v>
      </c>
      <c r="C205" s="5" t="s">
        <v>579</v>
      </c>
      <c r="D205" s="5" t="s">
        <v>477</v>
      </c>
      <c r="E205" s="10">
        <v>9.7</v>
      </c>
      <c r="F205" s="12">
        <v>6555.78</v>
      </c>
      <c r="G205" s="31">
        <f t="shared" si="4"/>
        <v>63591.06599999999</v>
      </c>
    </row>
    <row r="206" spans="2:7" ht="12">
      <c r="B206" s="25">
        <v>200</v>
      </c>
      <c r="C206" s="5" t="s">
        <v>580</v>
      </c>
      <c r="D206" s="5" t="s">
        <v>459</v>
      </c>
      <c r="E206" s="10">
        <v>6.2</v>
      </c>
      <c r="F206" s="12">
        <v>7128</v>
      </c>
      <c r="G206" s="31">
        <f aca="true" t="shared" si="5" ref="G206:G269">E206*F206</f>
        <v>44193.6</v>
      </c>
    </row>
    <row r="207" spans="2:7" ht="12">
      <c r="B207" s="25">
        <v>201</v>
      </c>
      <c r="C207" s="5" t="s">
        <v>581</v>
      </c>
      <c r="D207" s="5" t="s">
        <v>459</v>
      </c>
      <c r="E207" s="10">
        <v>6.2</v>
      </c>
      <c r="F207" s="12">
        <v>14914.35</v>
      </c>
      <c r="G207" s="31">
        <f t="shared" si="5"/>
        <v>92468.97</v>
      </c>
    </row>
    <row r="208" spans="2:7" ht="12">
      <c r="B208" s="25">
        <v>202</v>
      </c>
      <c r="C208" s="5" t="s">
        <v>582</v>
      </c>
      <c r="D208" s="5" t="s">
        <v>443</v>
      </c>
      <c r="E208" s="10">
        <v>0.3</v>
      </c>
      <c r="F208" s="12">
        <v>140.1939</v>
      </c>
      <c r="G208" s="31">
        <f t="shared" si="5"/>
        <v>42.058170000000004</v>
      </c>
    </row>
    <row r="209" spans="2:7" ht="12">
      <c r="B209" s="25">
        <v>203</v>
      </c>
      <c r="C209" s="5" t="s">
        <v>583</v>
      </c>
      <c r="D209" s="5" t="s">
        <v>584</v>
      </c>
      <c r="E209" s="10">
        <v>0.1836</v>
      </c>
      <c r="F209" s="12">
        <v>1972.8324</v>
      </c>
      <c r="G209" s="31">
        <f t="shared" si="5"/>
        <v>362.21202864</v>
      </c>
    </row>
    <row r="210" spans="2:7" ht="36">
      <c r="B210" s="25">
        <v>204</v>
      </c>
      <c r="C210" s="5" t="s">
        <v>585</v>
      </c>
      <c r="D210" s="5" t="s">
        <v>178</v>
      </c>
      <c r="E210" s="10">
        <v>0.93024</v>
      </c>
      <c r="F210" s="12">
        <v>6679.3913999999995</v>
      </c>
      <c r="G210" s="31">
        <f t="shared" si="5"/>
        <v>6213.4370559359995</v>
      </c>
    </row>
    <row r="211" spans="2:7" ht="24">
      <c r="B211" s="25">
        <v>205</v>
      </c>
      <c r="C211" s="5" t="s">
        <v>586</v>
      </c>
      <c r="D211" s="5" t="s">
        <v>445</v>
      </c>
      <c r="E211" s="10">
        <v>0.2052</v>
      </c>
      <c r="F211" s="12">
        <v>20713.1661</v>
      </c>
      <c r="G211" s="31">
        <f t="shared" si="5"/>
        <v>4250.341683719999</v>
      </c>
    </row>
    <row r="212" spans="2:7" ht="12">
      <c r="B212" s="25">
        <v>206</v>
      </c>
      <c r="C212" s="5" t="s">
        <v>587</v>
      </c>
      <c r="D212" s="5" t="s">
        <v>445</v>
      </c>
      <c r="E212" s="10">
        <v>0.360108</v>
      </c>
      <c r="F212" s="12">
        <v>34890.154200000004</v>
      </c>
      <c r="G212" s="31">
        <f t="shared" si="5"/>
        <v>12564.2236486536</v>
      </c>
    </row>
    <row r="213" spans="2:7" ht="12">
      <c r="B213" s="25">
        <v>207</v>
      </c>
      <c r="C213" s="5" t="s">
        <v>588</v>
      </c>
      <c r="D213" s="5" t="s">
        <v>445</v>
      </c>
      <c r="E213" s="10">
        <v>0.003225</v>
      </c>
      <c r="F213" s="12">
        <v>47271.638699999996</v>
      </c>
      <c r="G213" s="31">
        <f t="shared" si="5"/>
        <v>152.45103480749998</v>
      </c>
    </row>
    <row r="214" spans="2:7" ht="24">
      <c r="B214" s="25">
        <v>208</v>
      </c>
      <c r="C214" s="5" t="s">
        <v>589</v>
      </c>
      <c r="D214" s="5" t="s">
        <v>445</v>
      </c>
      <c r="E214" s="10">
        <v>0.0024</v>
      </c>
      <c r="F214" s="12">
        <v>40031.8281</v>
      </c>
      <c r="G214" s="31">
        <f t="shared" si="5"/>
        <v>96.07638743999999</v>
      </c>
    </row>
    <row r="215" spans="2:7" ht="12">
      <c r="B215" s="25">
        <v>209</v>
      </c>
      <c r="C215" s="5" t="s">
        <v>590</v>
      </c>
      <c r="D215" s="5" t="s">
        <v>459</v>
      </c>
      <c r="E215" s="10">
        <v>97</v>
      </c>
      <c r="F215" s="12">
        <v>65.76570000000001</v>
      </c>
      <c r="G215" s="31">
        <f t="shared" si="5"/>
        <v>6379.272900000001</v>
      </c>
    </row>
    <row r="216" spans="2:7" ht="24">
      <c r="B216" s="25">
        <v>210</v>
      </c>
      <c r="C216" s="5" t="s">
        <v>591</v>
      </c>
      <c r="D216" s="5" t="s">
        <v>474</v>
      </c>
      <c r="E216" s="10">
        <v>0.06</v>
      </c>
      <c r="F216" s="12">
        <v>8259.1245</v>
      </c>
      <c r="G216" s="31">
        <f t="shared" si="5"/>
        <v>495.54747</v>
      </c>
    </row>
    <row r="217" spans="2:7" ht="24">
      <c r="B217" s="25">
        <v>211</v>
      </c>
      <c r="C217" s="5" t="s">
        <v>592</v>
      </c>
      <c r="D217" s="5" t="s">
        <v>474</v>
      </c>
      <c r="E217" s="10">
        <v>1.8</v>
      </c>
      <c r="F217" s="12">
        <v>54273.8295</v>
      </c>
      <c r="G217" s="31">
        <f t="shared" si="5"/>
        <v>97692.8931</v>
      </c>
    </row>
    <row r="218" spans="2:7" ht="12">
      <c r="B218" s="25">
        <v>212</v>
      </c>
      <c r="C218" s="5" t="s">
        <v>593</v>
      </c>
      <c r="D218" s="5" t="s">
        <v>474</v>
      </c>
      <c r="E218" s="10">
        <v>0.18</v>
      </c>
      <c r="F218" s="12">
        <v>13534.686</v>
      </c>
      <c r="G218" s="31">
        <f t="shared" si="5"/>
        <v>2436.2434799999996</v>
      </c>
    </row>
    <row r="219" spans="2:7" ht="12">
      <c r="B219" s="25">
        <v>213</v>
      </c>
      <c r="C219" s="5" t="s">
        <v>594</v>
      </c>
      <c r="D219" s="5" t="s">
        <v>64</v>
      </c>
      <c r="E219" s="10">
        <v>15.75</v>
      </c>
      <c r="F219" s="12">
        <v>18509.5053</v>
      </c>
      <c r="G219" s="31">
        <f t="shared" si="5"/>
        <v>291524.708475</v>
      </c>
    </row>
    <row r="220" spans="2:7" ht="12">
      <c r="B220" s="25">
        <v>214</v>
      </c>
      <c r="C220" s="5" t="s">
        <v>595</v>
      </c>
      <c r="D220" s="5" t="s">
        <v>443</v>
      </c>
      <c r="E220" s="10">
        <v>2.4</v>
      </c>
      <c r="F220" s="12">
        <v>38.6892</v>
      </c>
      <c r="G220" s="31">
        <f t="shared" si="5"/>
        <v>92.85408</v>
      </c>
    </row>
    <row r="221" spans="2:7" ht="12">
      <c r="B221" s="25">
        <v>215</v>
      </c>
      <c r="C221" s="5" t="s">
        <v>596</v>
      </c>
      <c r="D221" s="5" t="s">
        <v>459</v>
      </c>
      <c r="E221" s="10">
        <v>97</v>
      </c>
      <c r="F221" s="12">
        <v>48.727799999999995</v>
      </c>
      <c r="G221" s="31">
        <f t="shared" si="5"/>
        <v>4726.5966</v>
      </c>
    </row>
    <row r="222" spans="2:7" ht="12">
      <c r="B222" s="25">
        <v>216</v>
      </c>
      <c r="C222" s="5" t="s">
        <v>597</v>
      </c>
      <c r="D222" s="5" t="s">
        <v>448</v>
      </c>
      <c r="E222" s="10">
        <v>31.9926</v>
      </c>
      <c r="F222" s="12">
        <v>6544.1772</v>
      </c>
      <c r="G222" s="31">
        <f t="shared" si="5"/>
        <v>209365.24348872</v>
      </c>
    </row>
    <row r="223" spans="2:7" ht="12">
      <c r="B223" s="25">
        <v>217</v>
      </c>
      <c r="C223" s="5" t="s">
        <v>598</v>
      </c>
      <c r="D223" s="5" t="s">
        <v>448</v>
      </c>
      <c r="E223" s="10">
        <v>1.098</v>
      </c>
      <c r="F223" s="12">
        <v>2424.2625</v>
      </c>
      <c r="G223" s="31">
        <f t="shared" si="5"/>
        <v>2661.840225</v>
      </c>
    </row>
    <row r="224" spans="2:7" ht="12">
      <c r="B224" s="25">
        <v>218</v>
      </c>
      <c r="C224" s="5" t="s">
        <v>599</v>
      </c>
      <c r="D224" s="5" t="s">
        <v>448</v>
      </c>
      <c r="E224" s="10">
        <v>0.456</v>
      </c>
      <c r="F224" s="12">
        <v>2535.5088</v>
      </c>
      <c r="G224" s="31">
        <f t="shared" si="5"/>
        <v>1156.1920128000002</v>
      </c>
    </row>
    <row r="225" spans="2:7" ht="12">
      <c r="B225" s="25">
        <v>219</v>
      </c>
      <c r="C225" s="5" t="s">
        <v>600</v>
      </c>
      <c r="D225" s="5" t="s">
        <v>448</v>
      </c>
      <c r="E225" s="10">
        <v>0.165</v>
      </c>
      <c r="F225" s="12">
        <v>2764.6344</v>
      </c>
      <c r="G225" s="31">
        <f t="shared" si="5"/>
        <v>456.164676</v>
      </c>
    </row>
    <row r="226" spans="2:7" ht="12">
      <c r="B226" s="25">
        <v>220</v>
      </c>
      <c r="C226" s="5" t="s">
        <v>601</v>
      </c>
      <c r="D226" s="5" t="s">
        <v>448</v>
      </c>
      <c r="E226" s="10">
        <v>8.584</v>
      </c>
      <c r="F226" s="12">
        <v>2464.1199</v>
      </c>
      <c r="G226" s="31">
        <f t="shared" si="5"/>
        <v>21152.0052216</v>
      </c>
    </row>
    <row r="227" spans="2:7" ht="12">
      <c r="B227" s="25">
        <v>221</v>
      </c>
      <c r="C227" s="5" t="s">
        <v>602</v>
      </c>
      <c r="D227" s="5" t="s">
        <v>448</v>
      </c>
      <c r="E227" s="10">
        <v>0.6</v>
      </c>
      <c r="F227" s="12">
        <v>2993.9085</v>
      </c>
      <c r="G227" s="31">
        <f t="shared" si="5"/>
        <v>1796.3451</v>
      </c>
    </row>
    <row r="228" spans="2:7" ht="12">
      <c r="B228" s="25">
        <v>222</v>
      </c>
      <c r="C228" s="5" t="s">
        <v>603</v>
      </c>
      <c r="D228" s="5" t="s">
        <v>448</v>
      </c>
      <c r="E228" s="10">
        <v>0.1819</v>
      </c>
      <c r="F228" s="12">
        <v>2609.1351</v>
      </c>
      <c r="G228" s="31">
        <f t="shared" si="5"/>
        <v>474.60167469</v>
      </c>
    </row>
    <row r="229" spans="2:7" ht="12">
      <c r="B229" s="25">
        <v>223</v>
      </c>
      <c r="C229" s="5" t="s">
        <v>604</v>
      </c>
      <c r="D229" s="5" t="s">
        <v>448</v>
      </c>
      <c r="E229" s="10">
        <v>26.796</v>
      </c>
      <c r="F229" s="12">
        <v>2263.0608</v>
      </c>
      <c r="G229" s="31">
        <f t="shared" si="5"/>
        <v>60640.977196800006</v>
      </c>
    </row>
    <row r="230" spans="2:7" ht="12">
      <c r="B230" s="25">
        <v>224</v>
      </c>
      <c r="C230" s="5" t="s">
        <v>605</v>
      </c>
      <c r="D230" s="5" t="s">
        <v>448</v>
      </c>
      <c r="E230" s="10">
        <v>1.98</v>
      </c>
      <c r="F230" s="12">
        <v>1650.8943</v>
      </c>
      <c r="G230" s="31">
        <f t="shared" si="5"/>
        <v>3268.7707139999998</v>
      </c>
    </row>
    <row r="231" spans="2:7" ht="12">
      <c r="B231" s="25">
        <v>225</v>
      </c>
      <c r="C231" s="5" t="s">
        <v>606</v>
      </c>
      <c r="D231" s="5" t="s">
        <v>448</v>
      </c>
      <c r="E231" s="10">
        <v>0.6</v>
      </c>
      <c r="F231" s="12">
        <v>1816.5510000000002</v>
      </c>
      <c r="G231" s="31">
        <f t="shared" si="5"/>
        <v>1089.9306000000001</v>
      </c>
    </row>
    <row r="232" spans="2:7" ht="12">
      <c r="B232" s="25">
        <v>226</v>
      </c>
      <c r="C232" s="5" t="s">
        <v>607</v>
      </c>
      <c r="D232" s="5" t="s">
        <v>445</v>
      </c>
      <c r="E232" s="10">
        <v>0.006</v>
      </c>
      <c r="F232" s="12">
        <v>111592.2456</v>
      </c>
      <c r="G232" s="31">
        <f t="shared" si="5"/>
        <v>669.5534736</v>
      </c>
    </row>
    <row r="233" spans="2:7" ht="12">
      <c r="B233" s="25">
        <v>227</v>
      </c>
      <c r="C233" s="5" t="s">
        <v>608</v>
      </c>
      <c r="D233" s="5" t="s">
        <v>459</v>
      </c>
      <c r="E233" s="10">
        <v>15</v>
      </c>
      <c r="F233" s="12">
        <v>385.5357</v>
      </c>
      <c r="G233" s="31">
        <f t="shared" si="5"/>
        <v>5783.0355</v>
      </c>
    </row>
    <row r="234" spans="2:7" ht="12">
      <c r="B234" s="25">
        <v>228</v>
      </c>
      <c r="C234" s="5" t="s">
        <v>609</v>
      </c>
      <c r="D234" s="5" t="s">
        <v>459</v>
      </c>
      <c r="E234" s="10">
        <v>15</v>
      </c>
      <c r="F234" s="12">
        <v>3469.5837</v>
      </c>
      <c r="G234" s="31">
        <f t="shared" si="5"/>
        <v>52043.7555</v>
      </c>
    </row>
    <row r="235" spans="2:7" ht="12">
      <c r="B235" s="25">
        <v>229</v>
      </c>
      <c r="C235" s="5" t="s">
        <v>610</v>
      </c>
      <c r="D235" s="5" t="s">
        <v>443</v>
      </c>
      <c r="E235" s="10">
        <v>84</v>
      </c>
      <c r="F235" s="12">
        <v>88.2486</v>
      </c>
      <c r="G235" s="31">
        <f t="shared" si="5"/>
        <v>7412.8823999999995</v>
      </c>
    </row>
    <row r="236" spans="2:7" ht="12">
      <c r="B236" s="25">
        <v>230</v>
      </c>
      <c r="C236" s="5" t="s">
        <v>611</v>
      </c>
      <c r="D236" s="5" t="s">
        <v>443</v>
      </c>
      <c r="E236" s="10">
        <v>60</v>
      </c>
      <c r="F236" s="12">
        <v>220.0572</v>
      </c>
      <c r="G236" s="31">
        <f t="shared" si="5"/>
        <v>13203.431999999999</v>
      </c>
    </row>
    <row r="237" spans="2:7" ht="12">
      <c r="B237" s="25">
        <v>231</v>
      </c>
      <c r="C237" s="5" t="s">
        <v>612</v>
      </c>
      <c r="D237" s="5" t="s">
        <v>459</v>
      </c>
      <c r="E237" s="10">
        <v>30</v>
      </c>
      <c r="F237" s="12">
        <v>3829.0031999999997</v>
      </c>
      <c r="G237" s="31">
        <f t="shared" si="5"/>
        <v>114870.09599999999</v>
      </c>
    </row>
    <row r="238" spans="2:7" ht="24">
      <c r="B238" s="25">
        <v>232</v>
      </c>
      <c r="C238" s="5" t="s">
        <v>613</v>
      </c>
      <c r="D238" s="5" t="s">
        <v>459</v>
      </c>
      <c r="E238" s="10">
        <v>380</v>
      </c>
      <c r="F238" s="12">
        <v>99.1485</v>
      </c>
      <c r="G238" s="31">
        <f t="shared" si="5"/>
        <v>37676.43</v>
      </c>
    </row>
    <row r="239" spans="2:7" ht="12">
      <c r="B239" s="25">
        <v>233</v>
      </c>
      <c r="C239" s="5" t="s">
        <v>614</v>
      </c>
      <c r="D239" s="5" t="s">
        <v>22</v>
      </c>
      <c r="E239" s="10">
        <v>0.6</v>
      </c>
      <c r="F239" s="12">
        <v>1836.7965</v>
      </c>
      <c r="G239" s="31">
        <f t="shared" si="5"/>
        <v>1102.0779</v>
      </c>
    </row>
    <row r="240" spans="2:7" ht="12">
      <c r="B240" s="25">
        <v>234</v>
      </c>
      <c r="C240" s="5" t="s">
        <v>615</v>
      </c>
      <c r="D240" s="5" t="s">
        <v>22</v>
      </c>
      <c r="E240" s="10">
        <v>0.3</v>
      </c>
      <c r="F240" s="12">
        <v>2801.7</v>
      </c>
      <c r="G240" s="31">
        <f t="shared" si="5"/>
        <v>840.5099999999999</v>
      </c>
    </row>
    <row r="241" spans="2:7" ht="12">
      <c r="B241" s="25">
        <v>235</v>
      </c>
      <c r="C241" s="5" t="s">
        <v>616</v>
      </c>
      <c r="D241" s="5" t="s">
        <v>506</v>
      </c>
      <c r="E241" s="10">
        <v>2332.2</v>
      </c>
      <c r="F241" s="12">
        <v>13.741200000000001</v>
      </c>
      <c r="G241" s="31">
        <f t="shared" si="5"/>
        <v>32047.22664</v>
      </c>
    </row>
    <row r="242" spans="2:7" ht="12">
      <c r="B242" s="25">
        <v>236</v>
      </c>
      <c r="C242" s="5" t="s">
        <v>617</v>
      </c>
      <c r="D242" s="5" t="s">
        <v>459</v>
      </c>
      <c r="E242" s="10">
        <v>30</v>
      </c>
      <c r="F242" s="12">
        <v>74.15100000000001</v>
      </c>
      <c r="G242" s="31">
        <f t="shared" si="5"/>
        <v>2224.53</v>
      </c>
    </row>
    <row r="243" spans="2:7" ht="12">
      <c r="B243" s="25">
        <v>237</v>
      </c>
      <c r="C243" s="5" t="s">
        <v>618</v>
      </c>
      <c r="D243" s="5" t="s">
        <v>459</v>
      </c>
      <c r="E243" s="10">
        <v>97</v>
      </c>
      <c r="F243" s="12">
        <v>52.47</v>
      </c>
      <c r="G243" s="31">
        <f t="shared" si="5"/>
        <v>5089.59</v>
      </c>
    </row>
    <row r="244" spans="2:7" ht="12">
      <c r="B244" s="25">
        <v>238</v>
      </c>
      <c r="C244" s="5" t="s">
        <v>619</v>
      </c>
      <c r="D244" s="5" t="s">
        <v>459</v>
      </c>
      <c r="E244" s="10">
        <v>60</v>
      </c>
      <c r="F244" s="12">
        <v>212.9985</v>
      </c>
      <c r="G244" s="31">
        <f t="shared" si="5"/>
        <v>12779.91</v>
      </c>
    </row>
    <row r="245" spans="2:7" ht="12">
      <c r="B245" s="25">
        <v>239</v>
      </c>
      <c r="C245" s="5" t="s">
        <v>620</v>
      </c>
      <c r="D245" s="5" t="s">
        <v>459</v>
      </c>
      <c r="E245" s="10">
        <v>30</v>
      </c>
      <c r="F245" s="12">
        <v>20.5821</v>
      </c>
      <c r="G245" s="31">
        <f t="shared" si="5"/>
        <v>617.463</v>
      </c>
    </row>
    <row r="246" spans="2:7" ht="12">
      <c r="B246" s="25">
        <v>240</v>
      </c>
      <c r="C246" s="5" t="s">
        <v>621</v>
      </c>
      <c r="D246" s="5" t="s">
        <v>459</v>
      </c>
      <c r="E246" s="10">
        <v>30</v>
      </c>
      <c r="F246" s="12">
        <v>31.986900000000002</v>
      </c>
      <c r="G246" s="31">
        <f t="shared" si="5"/>
        <v>959.6070000000001</v>
      </c>
    </row>
    <row r="247" spans="2:7" ht="12">
      <c r="B247" s="25">
        <v>241</v>
      </c>
      <c r="C247" s="5" t="s">
        <v>622</v>
      </c>
      <c r="D247" s="5" t="s">
        <v>459</v>
      </c>
      <c r="E247" s="10">
        <v>30</v>
      </c>
      <c r="F247" s="12">
        <v>53.6283</v>
      </c>
      <c r="G247" s="31">
        <f t="shared" si="5"/>
        <v>1608.8490000000002</v>
      </c>
    </row>
    <row r="248" spans="2:7" ht="24">
      <c r="B248" s="25">
        <v>242</v>
      </c>
      <c r="C248" s="5" t="s">
        <v>623</v>
      </c>
      <c r="D248" s="5" t="s">
        <v>506</v>
      </c>
      <c r="E248" s="10">
        <v>9.24480335</v>
      </c>
      <c r="F248" s="12">
        <v>115.16669999999999</v>
      </c>
      <c r="G248" s="31">
        <f t="shared" si="5"/>
        <v>1064.693493968445</v>
      </c>
    </row>
    <row r="249" spans="2:7" ht="12">
      <c r="B249" s="25">
        <v>243</v>
      </c>
      <c r="C249" s="5" t="s">
        <v>624</v>
      </c>
      <c r="D249" s="5" t="s">
        <v>22</v>
      </c>
      <c r="E249" s="10">
        <v>1.86612</v>
      </c>
      <c r="F249" s="12">
        <v>2366.1</v>
      </c>
      <c r="G249" s="31">
        <f t="shared" si="5"/>
        <v>4415.4265319999995</v>
      </c>
    </row>
    <row r="250" spans="2:7" ht="12">
      <c r="B250" s="25">
        <v>244</v>
      </c>
      <c r="C250" s="5" t="s">
        <v>625</v>
      </c>
      <c r="D250" s="5" t="s">
        <v>445</v>
      </c>
      <c r="E250" s="10">
        <v>2.91E-05</v>
      </c>
      <c r="F250" s="12">
        <v>72172.3662</v>
      </c>
      <c r="G250" s="31">
        <f t="shared" si="5"/>
        <v>2.10021585642</v>
      </c>
    </row>
    <row r="251" spans="2:7" ht="12">
      <c r="B251" s="25">
        <v>245</v>
      </c>
      <c r="C251" s="5" t="s">
        <v>626</v>
      </c>
      <c r="D251" s="5" t="s">
        <v>445</v>
      </c>
      <c r="E251" s="10">
        <v>7.76E-05</v>
      </c>
      <c r="F251" s="12">
        <v>139328.4519</v>
      </c>
      <c r="G251" s="31">
        <f t="shared" si="5"/>
        <v>10.81188786744</v>
      </c>
    </row>
    <row r="252" spans="2:7" ht="24">
      <c r="B252" s="25">
        <v>246</v>
      </c>
      <c r="C252" s="5" t="s">
        <v>627</v>
      </c>
      <c r="D252" s="5" t="s">
        <v>445</v>
      </c>
      <c r="E252" s="10">
        <v>0.0144</v>
      </c>
      <c r="F252" s="12">
        <v>139134.4911</v>
      </c>
      <c r="G252" s="31">
        <f t="shared" si="5"/>
        <v>2003.53667184</v>
      </c>
    </row>
    <row r="253" spans="2:7" ht="24">
      <c r="B253" s="25">
        <v>247</v>
      </c>
      <c r="C253" s="5" t="s">
        <v>628</v>
      </c>
      <c r="D253" s="5" t="s">
        <v>445</v>
      </c>
      <c r="E253" s="10">
        <v>0.018</v>
      </c>
      <c r="F253" s="12">
        <v>140214.1653</v>
      </c>
      <c r="G253" s="31">
        <f t="shared" si="5"/>
        <v>2523.8549753999996</v>
      </c>
    </row>
    <row r="254" spans="2:7" ht="12">
      <c r="B254" s="25">
        <v>248</v>
      </c>
      <c r="C254" s="5" t="s">
        <v>629</v>
      </c>
      <c r="D254" s="5" t="s">
        <v>445</v>
      </c>
      <c r="E254" s="10">
        <v>12.3831</v>
      </c>
      <c r="F254" s="12">
        <v>36290.3706</v>
      </c>
      <c r="G254" s="31">
        <f t="shared" si="5"/>
        <v>449387.28817686</v>
      </c>
    </row>
    <row r="255" spans="2:7" ht="24">
      <c r="B255" s="25">
        <v>249</v>
      </c>
      <c r="C255" s="5" t="s">
        <v>630</v>
      </c>
      <c r="D255" s="5" t="s">
        <v>506</v>
      </c>
      <c r="E255" s="10">
        <v>66.60666668</v>
      </c>
      <c r="F255" s="12">
        <v>219.24540000000002</v>
      </c>
      <c r="G255" s="31">
        <f t="shared" si="5"/>
        <v>14603.205278923275</v>
      </c>
    </row>
    <row r="256" spans="2:7" ht="12">
      <c r="B256" s="25">
        <v>250</v>
      </c>
      <c r="C256" s="5" t="s">
        <v>631</v>
      </c>
      <c r="D256" s="5" t="s">
        <v>459</v>
      </c>
      <c r="E256" s="10">
        <v>30</v>
      </c>
      <c r="F256" s="12">
        <v>114.32520000000001</v>
      </c>
      <c r="G256" s="31">
        <f t="shared" si="5"/>
        <v>3429.7560000000003</v>
      </c>
    </row>
    <row r="257" spans="2:7" ht="12">
      <c r="B257" s="25">
        <v>251</v>
      </c>
      <c r="C257" s="5" t="s">
        <v>632</v>
      </c>
      <c r="D257" s="5" t="s">
        <v>506</v>
      </c>
      <c r="E257" s="10">
        <v>148.5</v>
      </c>
      <c r="F257" s="12">
        <v>591.3468</v>
      </c>
      <c r="G257" s="31">
        <f t="shared" si="5"/>
        <v>87814.9998</v>
      </c>
    </row>
    <row r="258" spans="2:7" ht="12">
      <c r="B258" s="25">
        <v>252</v>
      </c>
      <c r="C258" s="5" t="s">
        <v>633</v>
      </c>
      <c r="D258" s="5" t="s">
        <v>445</v>
      </c>
      <c r="E258" s="10">
        <v>0.0006</v>
      </c>
      <c r="F258" s="12">
        <v>23278.563000000002</v>
      </c>
      <c r="G258" s="31">
        <f t="shared" si="5"/>
        <v>13.9671378</v>
      </c>
    </row>
    <row r="259" spans="2:7" ht="12">
      <c r="B259" s="25">
        <v>253</v>
      </c>
      <c r="C259" s="5" t="s">
        <v>634</v>
      </c>
      <c r="D259" s="5" t="s">
        <v>445</v>
      </c>
      <c r="E259" s="10">
        <v>3.12E-05</v>
      </c>
      <c r="F259" s="12">
        <v>58178.3499</v>
      </c>
      <c r="G259" s="31">
        <f t="shared" si="5"/>
        <v>1.81516451688</v>
      </c>
    </row>
    <row r="260" spans="2:7" ht="12">
      <c r="B260" s="25">
        <v>254</v>
      </c>
      <c r="C260" s="5" t="s">
        <v>635</v>
      </c>
      <c r="D260" s="5" t="s">
        <v>459</v>
      </c>
      <c r="E260" s="10">
        <v>1</v>
      </c>
      <c r="F260" s="12">
        <v>6633</v>
      </c>
      <c r="G260" s="31">
        <f t="shared" si="5"/>
        <v>6633</v>
      </c>
    </row>
    <row r="261" spans="2:7" ht="12">
      <c r="B261" s="25">
        <v>255</v>
      </c>
      <c r="C261" s="5" t="s">
        <v>636</v>
      </c>
      <c r="D261" s="5" t="s">
        <v>445</v>
      </c>
      <c r="E261" s="10">
        <v>0.012012</v>
      </c>
      <c r="F261" s="12">
        <v>6629.4459</v>
      </c>
      <c r="G261" s="31">
        <f t="shared" si="5"/>
        <v>79.6329041508</v>
      </c>
    </row>
    <row r="262" spans="2:7" ht="12">
      <c r="B262" s="25">
        <v>256</v>
      </c>
      <c r="C262" s="5" t="s">
        <v>637</v>
      </c>
      <c r="D262" s="5" t="s">
        <v>459</v>
      </c>
      <c r="E262" s="10">
        <v>3.1</v>
      </c>
      <c r="F262" s="12">
        <v>8761.5</v>
      </c>
      <c r="G262" s="31">
        <f t="shared" si="5"/>
        <v>27160.65</v>
      </c>
    </row>
    <row r="263" spans="2:7" ht="24">
      <c r="B263" s="25">
        <v>257</v>
      </c>
      <c r="C263" s="5" t="s">
        <v>638</v>
      </c>
      <c r="D263" s="5" t="s">
        <v>537</v>
      </c>
      <c r="E263" s="10">
        <v>1.5</v>
      </c>
      <c r="F263" s="12">
        <v>645.6879</v>
      </c>
      <c r="G263" s="31">
        <f t="shared" si="5"/>
        <v>968.5318500000001</v>
      </c>
    </row>
    <row r="264" spans="2:7" ht="12">
      <c r="B264" s="25">
        <v>258</v>
      </c>
      <c r="C264" s="5" t="s">
        <v>639</v>
      </c>
      <c r="D264" s="5" t="s">
        <v>459</v>
      </c>
      <c r="E264" s="10">
        <v>6.2</v>
      </c>
      <c r="F264" s="12">
        <v>2178</v>
      </c>
      <c r="G264" s="31">
        <f t="shared" si="5"/>
        <v>13503.6</v>
      </c>
    </row>
    <row r="265" spans="2:7" ht="12">
      <c r="B265" s="25">
        <v>259</v>
      </c>
      <c r="C265" s="5" t="s">
        <v>640</v>
      </c>
      <c r="D265" s="5" t="s">
        <v>641</v>
      </c>
      <c r="E265" s="10">
        <v>399.3556</v>
      </c>
      <c r="F265" s="12">
        <v>459.0036</v>
      </c>
      <c r="G265" s="31">
        <f t="shared" si="5"/>
        <v>183305.65808016</v>
      </c>
    </row>
    <row r="266" spans="2:7" ht="12">
      <c r="B266" s="25">
        <v>260</v>
      </c>
      <c r="C266" s="5" t="s">
        <v>642</v>
      </c>
      <c r="D266" s="5" t="s">
        <v>506</v>
      </c>
      <c r="E266" s="10">
        <v>6.6</v>
      </c>
      <c r="F266" s="12">
        <v>39.2238</v>
      </c>
      <c r="G266" s="31">
        <f t="shared" si="5"/>
        <v>258.87708</v>
      </c>
    </row>
    <row r="267" spans="2:7" ht="36">
      <c r="B267" s="25">
        <v>261</v>
      </c>
      <c r="C267" s="5" t="s">
        <v>643</v>
      </c>
      <c r="D267" s="5" t="s">
        <v>445</v>
      </c>
      <c r="E267" s="10">
        <v>0.036</v>
      </c>
      <c r="F267" s="12">
        <v>21593.0979</v>
      </c>
      <c r="G267" s="31">
        <f t="shared" si="5"/>
        <v>777.3515244</v>
      </c>
    </row>
    <row r="268" spans="2:7" ht="12">
      <c r="B268" s="25">
        <v>262</v>
      </c>
      <c r="C268" s="5" t="s">
        <v>644</v>
      </c>
      <c r="D268" s="5" t="s">
        <v>506</v>
      </c>
      <c r="E268" s="10">
        <v>28.935</v>
      </c>
      <c r="F268" s="12">
        <v>17.899199999999997</v>
      </c>
      <c r="G268" s="31">
        <f t="shared" si="5"/>
        <v>517.9133519999999</v>
      </c>
    </row>
    <row r="269" spans="2:7" ht="12">
      <c r="B269" s="25">
        <v>263</v>
      </c>
      <c r="C269" s="5" t="s">
        <v>645</v>
      </c>
      <c r="D269" s="5" t="s">
        <v>459</v>
      </c>
      <c r="E269" s="10">
        <v>30</v>
      </c>
      <c r="F269" s="12">
        <v>383.0805</v>
      </c>
      <c r="G269" s="31">
        <f t="shared" si="5"/>
        <v>11492.414999999999</v>
      </c>
    </row>
    <row r="270" spans="2:7" ht="12">
      <c r="B270" s="25">
        <v>264</v>
      </c>
      <c r="C270" s="5" t="s">
        <v>646</v>
      </c>
      <c r="D270" s="5" t="s">
        <v>486</v>
      </c>
      <c r="E270" s="10">
        <v>18</v>
      </c>
      <c r="F270" s="12">
        <v>254.45969999999997</v>
      </c>
      <c r="G270" s="31">
        <f aca="true" t="shared" si="6" ref="G270:G291">E270*F270</f>
        <v>4580.2746</v>
      </c>
    </row>
    <row r="271" spans="2:7" ht="12">
      <c r="B271" s="25">
        <v>265</v>
      </c>
      <c r="C271" s="5" t="s">
        <v>647</v>
      </c>
      <c r="D271" s="5" t="s">
        <v>486</v>
      </c>
      <c r="E271" s="10">
        <v>15</v>
      </c>
      <c r="F271" s="12">
        <v>326.93760000000003</v>
      </c>
      <c r="G271" s="31">
        <f t="shared" si="6"/>
        <v>4904.064</v>
      </c>
    </row>
    <row r="272" spans="2:7" ht="12">
      <c r="B272" s="25">
        <v>266</v>
      </c>
      <c r="C272" s="5" t="s">
        <v>648</v>
      </c>
      <c r="D272" s="5" t="s">
        <v>486</v>
      </c>
      <c r="E272" s="10">
        <v>660</v>
      </c>
      <c r="F272" s="12">
        <v>170.0622</v>
      </c>
      <c r="G272" s="31">
        <f t="shared" si="6"/>
        <v>112241.052</v>
      </c>
    </row>
    <row r="273" spans="2:7" ht="24">
      <c r="B273" s="25">
        <v>267</v>
      </c>
      <c r="C273" s="5" t="s">
        <v>649</v>
      </c>
      <c r="D273" s="5" t="s">
        <v>486</v>
      </c>
      <c r="E273" s="10">
        <v>898.2</v>
      </c>
      <c r="F273" s="12">
        <v>81.2889</v>
      </c>
      <c r="G273" s="31">
        <f t="shared" si="6"/>
        <v>73013.68998</v>
      </c>
    </row>
    <row r="274" spans="2:7" ht="24">
      <c r="B274" s="25">
        <v>268</v>
      </c>
      <c r="C274" s="5" t="s">
        <v>650</v>
      </c>
      <c r="D274" s="5" t="s">
        <v>486</v>
      </c>
      <c r="E274" s="10">
        <v>479.04</v>
      </c>
      <c r="F274" s="12">
        <v>145.4211</v>
      </c>
      <c r="G274" s="31">
        <f t="shared" si="6"/>
        <v>69662.523744</v>
      </c>
    </row>
    <row r="275" spans="2:7" ht="36">
      <c r="B275" s="25">
        <v>269</v>
      </c>
      <c r="C275" s="5" t="s">
        <v>651</v>
      </c>
      <c r="D275" s="5" t="s">
        <v>486</v>
      </c>
      <c r="E275" s="10">
        <v>750</v>
      </c>
      <c r="F275" s="12">
        <v>181.1799</v>
      </c>
      <c r="G275" s="31">
        <f t="shared" si="6"/>
        <v>135884.925</v>
      </c>
    </row>
    <row r="276" spans="2:7" ht="36">
      <c r="B276" s="25">
        <v>270</v>
      </c>
      <c r="C276" s="5" t="s">
        <v>652</v>
      </c>
      <c r="D276" s="5" t="s">
        <v>486</v>
      </c>
      <c r="E276" s="10">
        <v>120</v>
      </c>
      <c r="F276" s="12">
        <v>200.8413</v>
      </c>
      <c r="G276" s="31">
        <f t="shared" si="6"/>
        <v>24100.956</v>
      </c>
    </row>
    <row r="277" spans="2:7" ht="36">
      <c r="B277" s="25">
        <v>271</v>
      </c>
      <c r="C277" s="5" t="s">
        <v>653</v>
      </c>
      <c r="D277" s="5" t="s">
        <v>486</v>
      </c>
      <c r="E277" s="10">
        <v>545.4</v>
      </c>
      <c r="F277" s="12">
        <v>291.95099999999996</v>
      </c>
      <c r="G277" s="31">
        <f t="shared" si="6"/>
        <v>159230.07539999997</v>
      </c>
    </row>
    <row r="278" spans="2:7" ht="36">
      <c r="B278" s="25">
        <v>272</v>
      </c>
      <c r="C278" s="5" t="s">
        <v>654</v>
      </c>
      <c r="D278" s="5" t="s">
        <v>655</v>
      </c>
      <c r="E278" s="10">
        <v>121.8</v>
      </c>
      <c r="F278" s="12">
        <v>205.5735</v>
      </c>
      <c r="G278" s="31">
        <f t="shared" si="6"/>
        <v>25038.8523</v>
      </c>
    </row>
    <row r="279" spans="2:7" ht="12">
      <c r="B279" s="25">
        <v>273</v>
      </c>
      <c r="C279" s="5" t="s">
        <v>656</v>
      </c>
      <c r="D279" s="5" t="s">
        <v>459</v>
      </c>
      <c r="E279" s="10">
        <v>180</v>
      </c>
      <c r="F279" s="12">
        <v>3.3857999999999997</v>
      </c>
      <c r="G279" s="31">
        <f t="shared" si="6"/>
        <v>609.444</v>
      </c>
    </row>
    <row r="280" spans="2:7" ht="12">
      <c r="B280" s="25">
        <v>274</v>
      </c>
      <c r="C280" s="5" t="s">
        <v>657</v>
      </c>
      <c r="D280" s="5" t="s">
        <v>448</v>
      </c>
      <c r="E280" s="10">
        <v>0.5562</v>
      </c>
      <c r="F280" s="12">
        <v>17072.3223</v>
      </c>
      <c r="G280" s="31">
        <f t="shared" si="6"/>
        <v>9495.62566326</v>
      </c>
    </row>
    <row r="281" spans="2:7" ht="12">
      <c r="B281" s="25">
        <v>275</v>
      </c>
      <c r="C281" s="5" t="s">
        <v>658</v>
      </c>
      <c r="D281" s="5" t="s">
        <v>459</v>
      </c>
      <c r="E281" s="10">
        <v>15</v>
      </c>
      <c r="F281" s="12">
        <v>2175.7824</v>
      </c>
      <c r="G281" s="31">
        <f t="shared" si="6"/>
        <v>32636.736</v>
      </c>
    </row>
    <row r="282" spans="2:7" ht="24">
      <c r="B282" s="25">
        <v>276</v>
      </c>
      <c r="C282" s="5" t="s">
        <v>659</v>
      </c>
      <c r="D282" s="5" t="s">
        <v>459</v>
      </c>
      <c r="E282" s="10">
        <v>50</v>
      </c>
      <c r="F282" s="12">
        <v>31.2048</v>
      </c>
      <c r="G282" s="31">
        <f t="shared" si="6"/>
        <v>1560.24</v>
      </c>
    </row>
    <row r="283" spans="2:7" ht="12">
      <c r="B283" s="25">
        <v>277</v>
      </c>
      <c r="C283" s="5" t="s">
        <v>660</v>
      </c>
      <c r="D283" s="5" t="s">
        <v>445</v>
      </c>
      <c r="E283" s="10">
        <v>0.3541</v>
      </c>
      <c r="F283" s="12">
        <v>19073.389499999997</v>
      </c>
      <c r="G283" s="31">
        <f t="shared" si="6"/>
        <v>6753.88722195</v>
      </c>
    </row>
    <row r="284" spans="2:7" ht="12">
      <c r="B284" s="25">
        <v>278</v>
      </c>
      <c r="C284" s="5" t="s">
        <v>661</v>
      </c>
      <c r="D284" s="5" t="s">
        <v>506</v>
      </c>
      <c r="E284" s="10">
        <v>78.0553844</v>
      </c>
      <c r="F284" s="12">
        <v>190.3572</v>
      </c>
      <c r="G284" s="31">
        <f t="shared" si="6"/>
        <v>14858.404419307679</v>
      </c>
    </row>
    <row r="285" spans="2:7" ht="12">
      <c r="B285" s="25">
        <v>279</v>
      </c>
      <c r="C285" s="5" t="s">
        <v>662</v>
      </c>
      <c r="D285" s="5" t="s">
        <v>445</v>
      </c>
      <c r="E285" s="10">
        <v>3E-05</v>
      </c>
      <c r="F285" s="12">
        <v>191217.0348</v>
      </c>
      <c r="G285" s="31">
        <f t="shared" si="6"/>
        <v>5.736511044</v>
      </c>
    </row>
    <row r="286" spans="2:7" ht="12">
      <c r="B286" s="25">
        <v>280</v>
      </c>
      <c r="C286" s="5" t="s">
        <v>663</v>
      </c>
      <c r="D286" s="5" t="s">
        <v>445</v>
      </c>
      <c r="E286" s="10">
        <v>1.299919</v>
      </c>
      <c r="F286" s="12">
        <v>12324.826799999999</v>
      </c>
      <c r="G286" s="31">
        <f t="shared" si="6"/>
        <v>16021.276529029199</v>
      </c>
    </row>
    <row r="287" spans="2:7" ht="12">
      <c r="B287" s="25">
        <v>281</v>
      </c>
      <c r="C287" s="5" t="s">
        <v>664</v>
      </c>
      <c r="D287" s="5" t="s">
        <v>445</v>
      </c>
      <c r="E287" s="10">
        <v>1.55153437</v>
      </c>
      <c r="F287" s="12">
        <v>11045.4201</v>
      </c>
      <c r="G287" s="31">
        <f t="shared" si="6"/>
        <v>17137.348916238836</v>
      </c>
    </row>
    <row r="288" spans="2:7" ht="12">
      <c r="B288" s="25">
        <v>282</v>
      </c>
      <c r="C288" s="5" t="s">
        <v>665</v>
      </c>
      <c r="D288" s="5" t="s">
        <v>486</v>
      </c>
      <c r="E288" s="10">
        <v>395.76</v>
      </c>
      <c r="F288" s="12">
        <v>100.2375</v>
      </c>
      <c r="G288" s="31">
        <f t="shared" si="6"/>
        <v>39669.992999999995</v>
      </c>
    </row>
    <row r="289" spans="2:7" ht="12">
      <c r="B289" s="25">
        <v>283</v>
      </c>
      <c r="C289" s="5" t="s">
        <v>666</v>
      </c>
      <c r="D289" s="5" t="s">
        <v>445</v>
      </c>
      <c r="E289" s="10">
        <v>0.018816</v>
      </c>
      <c r="F289" s="12">
        <v>55198.638</v>
      </c>
      <c r="G289" s="31">
        <f t="shared" si="6"/>
        <v>1038.617572608</v>
      </c>
    </row>
    <row r="290" spans="2:7" ht="12">
      <c r="B290" s="25">
        <v>284</v>
      </c>
      <c r="C290" s="5" t="s">
        <v>667</v>
      </c>
      <c r="D290" s="5" t="s">
        <v>445</v>
      </c>
      <c r="E290" s="10">
        <v>0.041097</v>
      </c>
      <c r="F290" s="12">
        <v>43595.1648</v>
      </c>
      <c r="G290" s="31">
        <f t="shared" si="6"/>
        <v>1791.6304877856</v>
      </c>
    </row>
    <row r="291" spans="2:7" ht="12">
      <c r="B291" s="25">
        <v>285</v>
      </c>
      <c r="C291" s="5" t="s">
        <v>668</v>
      </c>
      <c r="D291" s="5" t="s">
        <v>445</v>
      </c>
      <c r="E291" s="10">
        <v>0.1074</v>
      </c>
      <c r="F291" s="12">
        <v>45400.152599999994</v>
      </c>
      <c r="G291" s="31">
        <f t="shared" si="6"/>
        <v>4875.976389239999</v>
      </c>
    </row>
    <row r="292" spans="2:7" ht="12">
      <c r="B292" s="80" t="s">
        <v>440</v>
      </c>
      <c r="C292" s="81"/>
      <c r="D292" s="81"/>
      <c r="E292" s="81"/>
      <c r="F292" s="82"/>
      <c r="G292" s="32">
        <f>SUM(G78:G291)</f>
        <v>5886970.356548596</v>
      </c>
    </row>
    <row r="293" spans="2:7" ht="15">
      <c r="B293" s="83" t="s">
        <v>669</v>
      </c>
      <c r="C293" s="83"/>
      <c r="D293" s="83"/>
      <c r="E293" s="83"/>
      <c r="F293" s="83"/>
      <c r="G293" s="83"/>
    </row>
    <row r="294" spans="2:7" ht="12">
      <c r="B294" s="24">
        <v>286</v>
      </c>
      <c r="C294" s="26" t="s">
        <v>670</v>
      </c>
      <c r="D294" s="26" t="s">
        <v>459</v>
      </c>
      <c r="E294" s="27">
        <v>37.76163243</v>
      </c>
      <c r="F294" s="28">
        <v>99</v>
      </c>
      <c r="G294" s="30">
        <f aca="true" t="shared" si="7" ref="G294:G307">E294*F294</f>
        <v>3738.40161057</v>
      </c>
    </row>
    <row r="295" spans="2:7" ht="12">
      <c r="B295" s="25">
        <v>287</v>
      </c>
      <c r="C295" s="5" t="s">
        <v>671</v>
      </c>
      <c r="D295" s="5" t="s">
        <v>459</v>
      </c>
      <c r="E295" s="10">
        <v>288.20925056</v>
      </c>
      <c r="F295" s="12">
        <v>62.37</v>
      </c>
      <c r="G295" s="31">
        <f t="shared" si="7"/>
        <v>17975.610957427198</v>
      </c>
    </row>
    <row r="296" spans="2:7" ht="12">
      <c r="B296" s="25">
        <v>288</v>
      </c>
      <c r="C296" s="5" t="s">
        <v>672</v>
      </c>
      <c r="D296" s="5" t="s">
        <v>459</v>
      </c>
      <c r="E296" s="10">
        <v>0.4704</v>
      </c>
      <c r="F296" s="12">
        <v>118.8</v>
      </c>
      <c r="G296" s="31">
        <f t="shared" si="7"/>
        <v>55.88352</v>
      </c>
    </row>
    <row r="297" spans="2:7" ht="12">
      <c r="B297" s="25">
        <v>289</v>
      </c>
      <c r="C297" s="5" t="s">
        <v>673</v>
      </c>
      <c r="D297" s="5" t="s">
        <v>459</v>
      </c>
      <c r="E297" s="10">
        <v>3.98114</v>
      </c>
      <c r="F297" s="12">
        <v>183.15</v>
      </c>
      <c r="G297" s="31">
        <f t="shared" si="7"/>
        <v>729.145791</v>
      </c>
    </row>
    <row r="298" spans="2:7" ht="12">
      <c r="B298" s="25">
        <v>290</v>
      </c>
      <c r="C298" s="5" t="s">
        <v>674</v>
      </c>
      <c r="D298" s="5" t="s">
        <v>459</v>
      </c>
      <c r="E298" s="10">
        <v>10.83924</v>
      </c>
      <c r="F298" s="12">
        <v>178.2</v>
      </c>
      <c r="G298" s="31">
        <f t="shared" si="7"/>
        <v>1931.5525679999998</v>
      </c>
    </row>
    <row r="299" spans="2:7" ht="12">
      <c r="B299" s="25">
        <v>291</v>
      </c>
      <c r="C299" s="5" t="s">
        <v>675</v>
      </c>
      <c r="D299" s="5" t="s">
        <v>459</v>
      </c>
      <c r="E299" s="10">
        <v>1386.44338</v>
      </c>
      <c r="F299" s="12">
        <v>59.4</v>
      </c>
      <c r="G299" s="31">
        <f t="shared" si="7"/>
        <v>82354.73677199999</v>
      </c>
    </row>
    <row r="300" spans="2:7" ht="12">
      <c r="B300" s="25">
        <v>292</v>
      </c>
      <c r="C300" s="5" t="s">
        <v>676</v>
      </c>
      <c r="D300" s="5" t="s">
        <v>459</v>
      </c>
      <c r="E300" s="10">
        <v>46.00567379</v>
      </c>
      <c r="F300" s="12">
        <v>148.5</v>
      </c>
      <c r="G300" s="31">
        <f t="shared" si="7"/>
        <v>6831.842557815001</v>
      </c>
    </row>
    <row r="301" spans="2:7" ht="12">
      <c r="B301" s="25">
        <v>293</v>
      </c>
      <c r="C301" s="5" t="s">
        <v>677</v>
      </c>
      <c r="D301" s="5" t="s">
        <v>459</v>
      </c>
      <c r="E301" s="10">
        <v>11.00934</v>
      </c>
      <c r="F301" s="12">
        <v>257.4</v>
      </c>
      <c r="G301" s="31">
        <f t="shared" si="7"/>
        <v>2833.804116</v>
      </c>
    </row>
    <row r="302" spans="2:7" ht="12">
      <c r="B302" s="25">
        <v>294</v>
      </c>
      <c r="C302" s="5" t="s">
        <v>678</v>
      </c>
      <c r="D302" s="5" t="s">
        <v>459</v>
      </c>
      <c r="E302" s="10">
        <v>12.00869029</v>
      </c>
      <c r="F302" s="12">
        <v>84.15</v>
      </c>
      <c r="G302" s="31">
        <f t="shared" si="7"/>
        <v>1010.5312879035001</v>
      </c>
    </row>
    <row r="303" spans="2:7" ht="12">
      <c r="B303" s="25">
        <v>295</v>
      </c>
      <c r="C303" s="5" t="s">
        <v>679</v>
      </c>
      <c r="D303" s="5" t="s">
        <v>459</v>
      </c>
      <c r="E303" s="10">
        <v>32.384</v>
      </c>
      <c r="F303" s="12">
        <v>2475</v>
      </c>
      <c r="G303" s="31">
        <f t="shared" si="7"/>
        <v>80150.4</v>
      </c>
    </row>
    <row r="304" spans="2:7" ht="12">
      <c r="B304" s="25">
        <v>296</v>
      </c>
      <c r="C304" s="5" t="s">
        <v>680</v>
      </c>
      <c r="D304" s="5" t="s">
        <v>459</v>
      </c>
      <c r="E304" s="10">
        <v>6.21109324</v>
      </c>
      <c r="F304" s="12">
        <v>59.4</v>
      </c>
      <c r="G304" s="31">
        <f t="shared" si="7"/>
        <v>368.938938456</v>
      </c>
    </row>
    <row r="305" spans="2:7" ht="12">
      <c r="B305" s="25">
        <v>297</v>
      </c>
      <c r="C305" s="5" t="s">
        <v>681</v>
      </c>
      <c r="D305" s="5" t="s">
        <v>682</v>
      </c>
      <c r="E305" s="10">
        <v>3.77222252</v>
      </c>
      <c r="F305" s="12">
        <v>44.55</v>
      </c>
      <c r="G305" s="31">
        <f t="shared" si="7"/>
        <v>168.052513266</v>
      </c>
    </row>
    <row r="306" spans="2:7" ht="12">
      <c r="B306" s="25">
        <v>298</v>
      </c>
      <c r="C306" s="5" t="s">
        <v>683</v>
      </c>
      <c r="D306" s="5" t="s">
        <v>459</v>
      </c>
      <c r="E306" s="10">
        <v>98.03427551</v>
      </c>
      <c r="F306" s="12">
        <v>128.7</v>
      </c>
      <c r="G306" s="31">
        <f t="shared" si="7"/>
        <v>12617.011258137</v>
      </c>
    </row>
    <row r="307" spans="2:7" ht="12">
      <c r="B307" s="25">
        <v>299</v>
      </c>
      <c r="C307" s="5" t="s">
        <v>684</v>
      </c>
      <c r="D307" s="5" t="s">
        <v>459</v>
      </c>
      <c r="E307" s="10">
        <v>0.0787758</v>
      </c>
      <c r="F307" s="12">
        <v>188.1</v>
      </c>
      <c r="G307" s="31">
        <f t="shared" si="7"/>
        <v>14.81772798</v>
      </c>
    </row>
    <row r="308" spans="2:7" ht="12">
      <c r="B308" s="80" t="s">
        <v>440</v>
      </c>
      <c r="C308" s="81"/>
      <c r="D308" s="81"/>
      <c r="E308" s="81"/>
      <c r="F308" s="82"/>
      <c r="G308" s="32">
        <f>SUM(G294:G307)</f>
        <v>210780.7296185547</v>
      </c>
    </row>
    <row r="309" spans="2:7" ht="15">
      <c r="B309" s="83" t="s">
        <v>685</v>
      </c>
      <c r="C309" s="83"/>
      <c r="D309" s="83"/>
      <c r="E309" s="83"/>
      <c r="F309" s="83"/>
      <c r="G309" s="83"/>
    </row>
    <row r="310" spans="2:7" ht="12">
      <c r="B310" s="24">
        <v>300</v>
      </c>
      <c r="C310" s="26" t="s">
        <v>686</v>
      </c>
      <c r="D310" s="26" t="s">
        <v>687</v>
      </c>
      <c r="E310" s="27">
        <v>19.2</v>
      </c>
      <c r="F310" s="28">
        <v>0</v>
      </c>
      <c r="G310" s="30">
        <f aca="true" t="shared" si="8" ref="G310:G323">E310*F310</f>
        <v>0</v>
      </c>
    </row>
    <row r="311" spans="2:7" ht="12">
      <c r="B311" s="25">
        <v>301</v>
      </c>
      <c r="C311" s="5" t="s">
        <v>688</v>
      </c>
      <c r="D311" s="5" t="s">
        <v>689</v>
      </c>
      <c r="E311" s="10">
        <v>20.1395</v>
      </c>
      <c r="F311" s="12">
        <v>0</v>
      </c>
      <c r="G311" s="31">
        <f t="shared" si="8"/>
        <v>0</v>
      </c>
    </row>
    <row r="312" spans="2:7" ht="24">
      <c r="B312" s="25">
        <v>302</v>
      </c>
      <c r="C312" s="5" t="s">
        <v>690</v>
      </c>
      <c r="D312" s="5" t="s">
        <v>689</v>
      </c>
      <c r="E312" s="10">
        <v>6.308</v>
      </c>
      <c r="F312" s="12">
        <v>444.00149999999996</v>
      </c>
      <c r="G312" s="31">
        <f t="shared" si="8"/>
        <v>2800.7614619999995</v>
      </c>
    </row>
    <row r="313" spans="2:7" ht="24">
      <c r="B313" s="25">
        <v>303</v>
      </c>
      <c r="C313" s="5" t="s">
        <v>691</v>
      </c>
      <c r="D313" s="5" t="s">
        <v>689</v>
      </c>
      <c r="E313" s="10">
        <v>17.3436</v>
      </c>
      <c r="F313" s="12">
        <v>0</v>
      </c>
      <c r="G313" s="31">
        <f t="shared" si="8"/>
        <v>0</v>
      </c>
    </row>
    <row r="314" spans="2:7" ht="12">
      <c r="B314" s="25">
        <v>304</v>
      </c>
      <c r="C314" s="5" t="s">
        <v>692</v>
      </c>
      <c r="D314" s="5" t="s">
        <v>687</v>
      </c>
      <c r="E314" s="10">
        <v>4.947</v>
      </c>
      <c r="F314" s="12">
        <v>5.0729999999999995</v>
      </c>
      <c r="G314" s="31">
        <f t="shared" si="8"/>
        <v>25.096130999999996</v>
      </c>
    </row>
    <row r="315" spans="2:7" ht="12">
      <c r="B315" s="25">
        <v>305</v>
      </c>
      <c r="C315" s="5" t="s">
        <v>693</v>
      </c>
      <c r="D315" s="5" t="s">
        <v>689</v>
      </c>
      <c r="E315" s="10">
        <v>26.7858</v>
      </c>
      <c r="F315" s="12">
        <v>0</v>
      </c>
      <c r="G315" s="31">
        <f t="shared" si="8"/>
        <v>0</v>
      </c>
    </row>
    <row r="316" spans="2:7" ht="12">
      <c r="B316" s="25">
        <v>306</v>
      </c>
      <c r="C316" s="5" t="s">
        <v>694</v>
      </c>
      <c r="D316" s="5" t="s">
        <v>689</v>
      </c>
      <c r="E316" s="10">
        <v>0.448192</v>
      </c>
      <c r="F316" s="12">
        <v>0</v>
      </c>
      <c r="G316" s="31">
        <f t="shared" si="8"/>
        <v>0</v>
      </c>
    </row>
    <row r="317" spans="2:7" ht="12">
      <c r="B317" s="25">
        <v>307</v>
      </c>
      <c r="C317" s="5" t="s">
        <v>695</v>
      </c>
      <c r="D317" s="5" t="s">
        <v>687</v>
      </c>
      <c r="E317" s="10">
        <v>24.4416</v>
      </c>
      <c r="F317" s="12">
        <v>74.09049999999999</v>
      </c>
      <c r="G317" s="31">
        <f t="shared" si="8"/>
        <v>1810.8903647999998</v>
      </c>
    </row>
    <row r="318" spans="2:7" ht="12">
      <c r="B318" s="25">
        <v>308</v>
      </c>
      <c r="C318" s="5" t="s">
        <v>696</v>
      </c>
      <c r="D318" s="5" t="s">
        <v>687</v>
      </c>
      <c r="E318" s="10">
        <v>2.9238</v>
      </c>
      <c r="F318" s="12">
        <v>254.486</v>
      </c>
      <c r="G318" s="31">
        <f t="shared" si="8"/>
        <v>744.0661667999999</v>
      </c>
    </row>
    <row r="319" spans="2:7" ht="12">
      <c r="B319" s="25">
        <v>309</v>
      </c>
      <c r="C319" s="5" t="s">
        <v>697</v>
      </c>
      <c r="D319" s="5" t="s">
        <v>689</v>
      </c>
      <c r="E319" s="10">
        <v>0.96</v>
      </c>
      <c r="F319" s="12">
        <v>7.4384999999999994</v>
      </c>
      <c r="G319" s="31">
        <f t="shared" si="8"/>
        <v>7.140959999999999</v>
      </c>
    </row>
    <row r="320" spans="2:7" ht="12">
      <c r="B320" s="25">
        <v>310</v>
      </c>
      <c r="C320" s="5" t="s">
        <v>698</v>
      </c>
      <c r="D320" s="5" t="s">
        <v>687</v>
      </c>
      <c r="E320" s="10">
        <v>0.009</v>
      </c>
      <c r="F320" s="12">
        <v>203.6515</v>
      </c>
      <c r="G320" s="31">
        <f t="shared" si="8"/>
        <v>1.8328634999999998</v>
      </c>
    </row>
    <row r="321" spans="2:7" ht="12">
      <c r="B321" s="25">
        <v>311</v>
      </c>
      <c r="C321" s="5" t="s">
        <v>699</v>
      </c>
      <c r="D321" s="5" t="s">
        <v>689</v>
      </c>
      <c r="E321" s="10">
        <v>0.300384</v>
      </c>
      <c r="F321" s="12">
        <v>0</v>
      </c>
      <c r="G321" s="31">
        <f t="shared" si="8"/>
        <v>0</v>
      </c>
    </row>
    <row r="322" spans="2:7" ht="12">
      <c r="B322" s="25">
        <v>312</v>
      </c>
      <c r="C322" s="5" t="s">
        <v>700</v>
      </c>
      <c r="D322" s="5" t="s">
        <v>687</v>
      </c>
      <c r="E322" s="10">
        <v>83.4</v>
      </c>
      <c r="F322" s="12">
        <v>0</v>
      </c>
      <c r="G322" s="31">
        <f t="shared" si="8"/>
        <v>0</v>
      </c>
    </row>
    <row r="323" spans="2:7" ht="12">
      <c r="B323" s="25">
        <v>313</v>
      </c>
      <c r="C323" s="5" t="s">
        <v>701</v>
      </c>
      <c r="D323" s="5" t="s">
        <v>689</v>
      </c>
      <c r="E323" s="10">
        <v>0.6</v>
      </c>
      <c r="F323" s="12">
        <v>0</v>
      </c>
      <c r="G323" s="31">
        <f t="shared" si="8"/>
        <v>0</v>
      </c>
    </row>
    <row r="324" spans="2:7" ht="12">
      <c r="B324" s="80" t="s">
        <v>440</v>
      </c>
      <c r="C324" s="81"/>
      <c r="D324" s="81"/>
      <c r="E324" s="81"/>
      <c r="F324" s="82"/>
      <c r="G324" s="32">
        <f>SUM(G310:G323)</f>
        <v>5389.787948099999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308:F308"/>
    <mergeCell ref="B309:G309"/>
    <mergeCell ref="B324:F324"/>
    <mergeCell ref="B1:G1"/>
    <mergeCell ref="B4:G4"/>
    <mergeCell ref="B76:F76"/>
    <mergeCell ref="B77:G77"/>
    <mergeCell ref="B292:F292"/>
    <mergeCell ref="B293:G293"/>
  </mergeCells>
  <printOptions/>
  <pageMargins left="0.35" right="0.35" top="0.35" bottom="0.35" header="0.3" footer="0.3"/>
  <pageSetup fitToHeight="0" fitToWidth="1" horizontalDpi="600" verticalDpi="600" orientation="portrait" paperSize="9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22"/>
  <sheetViews>
    <sheetView zoomScalePageLayoutView="0" workbookViewId="0" topLeftCell="B196">
      <selection activeCell="B204" sqref="B204"/>
    </sheetView>
  </sheetViews>
  <sheetFormatPr defaultColWidth="9.140625" defaultRowHeight="12"/>
  <cols>
    <col min="2" max="2" width="36.7109375" style="0" customWidth="1"/>
    <col min="3" max="3" width="27.8515625" style="0" customWidth="1"/>
    <col min="6" max="6" width="15.57421875" style="0" customWidth="1"/>
    <col min="7" max="7" width="13.421875" style="0" customWidth="1"/>
    <col min="9" max="9" width="14.00390625" style="0" customWidth="1"/>
    <col min="10" max="10" width="13.421875" style="0" customWidth="1"/>
    <col min="14" max="14" width="11.421875" style="0" bestFit="1" customWidth="1"/>
  </cols>
  <sheetData>
    <row r="1" spans="1:10" ht="39.75" thickBot="1" thickTop="1">
      <c r="A1" s="1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3" t="s">
        <v>12</v>
      </c>
    </row>
    <row r="2" spans="1:10" ht="13.5" thickBot="1" thickTop="1">
      <c r="A2" s="66" t="s">
        <v>13</v>
      </c>
      <c r="B2" s="67"/>
      <c r="C2" s="67"/>
      <c r="D2" s="67"/>
      <c r="E2" s="67"/>
      <c r="F2" s="68"/>
      <c r="G2" s="68"/>
      <c r="H2" s="68"/>
      <c r="I2" s="68"/>
      <c r="J2" s="68"/>
    </row>
    <row r="3" spans="1:10" ht="16.5" thickBot="1" thickTop="1">
      <c r="A3" s="69" t="s">
        <v>14</v>
      </c>
      <c r="B3" s="70"/>
      <c r="C3" s="70"/>
      <c r="D3" s="70"/>
      <c r="E3" s="70"/>
      <c r="F3" s="71"/>
      <c r="G3" s="71"/>
      <c r="H3" s="71"/>
      <c r="I3" s="71"/>
      <c r="J3" s="72"/>
    </row>
    <row r="4" spans="1:14" ht="12.75" thickTop="1">
      <c r="A4" s="6">
        <v>1</v>
      </c>
      <c r="B4" s="4" t="s">
        <v>15</v>
      </c>
      <c r="C4" s="4" t="s">
        <v>16</v>
      </c>
      <c r="D4" s="8">
        <v>1.52</v>
      </c>
      <c r="E4" s="8">
        <v>12</v>
      </c>
      <c r="F4" s="11">
        <f>468.86*D4*E4</f>
        <v>8552.0064</v>
      </c>
      <c r="G4" s="11">
        <f>0*D4*E4</f>
        <v>0</v>
      </c>
      <c r="H4" s="11">
        <f>99.28127*D4*E4</f>
        <v>1810.8903648</v>
      </c>
      <c r="I4" s="11">
        <f>489.9606516*D4*E4</f>
        <v>8936.882285184</v>
      </c>
      <c r="J4" s="14">
        <f aca="true" t="shared" si="0" ref="J4:J35">SUM(F4:I4)</f>
        <v>19299.779049983998</v>
      </c>
      <c r="K4">
        <v>217424.68999999997</v>
      </c>
      <c r="L4" s="33">
        <f>J4/K4/12</f>
        <v>0.007397112631651906</v>
      </c>
      <c r="M4" s="33">
        <f>L12+L11+L10+L9+L8+L7+L6+L5+L4</f>
        <v>0.2533120114639613</v>
      </c>
      <c r="N4" s="35">
        <v>2.3072907013883173</v>
      </c>
    </row>
    <row r="5" spans="1:13" ht="24">
      <c r="A5" s="7">
        <v>2</v>
      </c>
      <c r="B5" s="5" t="s">
        <v>17</v>
      </c>
      <c r="C5" s="5" t="s">
        <v>18</v>
      </c>
      <c r="D5" s="9">
        <v>5</v>
      </c>
      <c r="E5" s="9">
        <v>12</v>
      </c>
      <c r="F5" s="12">
        <f>553.87255*D5*E5</f>
        <v>33232.353</v>
      </c>
      <c r="G5" s="12">
        <f>1803.40943904*D5*E5</f>
        <v>108204.56634240001</v>
      </c>
      <c r="H5" s="12">
        <f aca="true" t="shared" si="1" ref="H5:H12">0*D5*E5</f>
        <v>0</v>
      </c>
      <c r="I5" s="12">
        <f>527.2866676*D5*E5</f>
        <v>31637.200055999998</v>
      </c>
      <c r="J5" s="15">
        <f t="shared" si="0"/>
        <v>173074.1193984</v>
      </c>
      <c r="K5">
        <v>217424.68999999997</v>
      </c>
      <c r="L5" s="33">
        <f aca="true" t="shared" si="2" ref="L5:L68">J5/K5/12</f>
        <v>0.06633489178804856</v>
      </c>
      <c r="M5" s="33"/>
    </row>
    <row r="6" spans="1:13" ht="48">
      <c r="A6" s="7">
        <v>3</v>
      </c>
      <c r="B6" s="5" t="s">
        <v>19</v>
      </c>
      <c r="C6" s="5" t="s">
        <v>20</v>
      </c>
      <c r="D6" s="9">
        <v>0.76</v>
      </c>
      <c r="E6" s="9">
        <v>12</v>
      </c>
      <c r="F6" s="12">
        <f>1756.48*D6*E6</f>
        <v>16019.097600000001</v>
      </c>
      <c r="G6" s="12">
        <f>3358.50547329*D6*E6</f>
        <v>30629.5699164048</v>
      </c>
      <c r="H6" s="12">
        <f t="shared" si="1"/>
        <v>0</v>
      </c>
      <c r="I6" s="12">
        <f>1672.16896*D6*E6</f>
        <v>15250.180915199999</v>
      </c>
      <c r="J6" s="15">
        <f t="shared" si="0"/>
        <v>61898.8484316048</v>
      </c>
      <c r="K6">
        <v>217424.68999999997</v>
      </c>
      <c r="L6" s="33">
        <f t="shared" si="2"/>
        <v>0.02372424847104715</v>
      </c>
      <c r="M6" s="33"/>
    </row>
    <row r="7" spans="1:13" ht="12">
      <c r="A7" s="7">
        <v>4</v>
      </c>
      <c r="B7" s="5" t="s">
        <v>21</v>
      </c>
      <c r="C7" s="5" t="s">
        <v>22</v>
      </c>
      <c r="D7" s="9">
        <v>0.76</v>
      </c>
      <c r="E7" s="9">
        <v>12</v>
      </c>
      <c r="F7" s="12">
        <f>623.5504*D7*E7</f>
        <v>5686.779648</v>
      </c>
      <c r="G7" s="12">
        <f>1448.073*D7*E7</f>
        <v>13206.42576</v>
      </c>
      <c r="H7" s="12">
        <f t="shared" si="1"/>
        <v>0</v>
      </c>
      <c r="I7" s="12">
        <f>593.6199808*D7*E7</f>
        <v>5413.814224896</v>
      </c>
      <c r="J7" s="15">
        <f t="shared" si="0"/>
        <v>24307.019632896</v>
      </c>
      <c r="K7">
        <v>217424.68999999997</v>
      </c>
      <c r="L7" s="33">
        <f t="shared" si="2"/>
        <v>0.009316260123944526</v>
      </c>
      <c r="M7" s="33"/>
    </row>
    <row r="8" spans="1:13" ht="12">
      <c r="A8" s="7">
        <v>5</v>
      </c>
      <c r="B8" s="5" t="s">
        <v>23</v>
      </c>
      <c r="C8" s="5" t="s">
        <v>22</v>
      </c>
      <c r="D8" s="9">
        <v>0.76</v>
      </c>
      <c r="E8" s="9">
        <v>4</v>
      </c>
      <c r="F8" s="12">
        <f>2250.56645*D8*E8</f>
        <v>6841.722008</v>
      </c>
      <c r="G8" s="12">
        <f>47698.2*D8*E8</f>
        <v>145002.528</v>
      </c>
      <c r="H8" s="12">
        <f t="shared" si="1"/>
        <v>0</v>
      </c>
      <c r="I8" s="12">
        <f>2142.5392604*D8*E8</f>
        <v>6513.319351616</v>
      </c>
      <c r="J8" s="15">
        <f t="shared" si="0"/>
        <v>158357.569359616</v>
      </c>
      <c r="K8">
        <v>217424.68999999997</v>
      </c>
      <c r="L8" s="33">
        <f t="shared" si="2"/>
        <v>0.060694413837275495</v>
      </c>
      <c r="M8" s="33"/>
    </row>
    <row r="9" spans="1:13" ht="12">
      <c r="A9" s="7">
        <v>6</v>
      </c>
      <c r="B9" s="5" t="s">
        <v>24</v>
      </c>
      <c r="C9" s="5" t="s">
        <v>22</v>
      </c>
      <c r="D9" s="9">
        <v>0.38</v>
      </c>
      <c r="E9" s="9">
        <v>12</v>
      </c>
      <c r="F9" s="12">
        <f>3180.3156*D9*E9</f>
        <v>14502.239136</v>
      </c>
      <c r="G9" s="12">
        <f>1768.14*D9*E9</f>
        <v>8062.718400000002</v>
      </c>
      <c r="H9" s="12">
        <f t="shared" si="1"/>
        <v>0</v>
      </c>
      <c r="I9" s="12">
        <f>3027.6604512*D9*E9</f>
        <v>13806.131657471999</v>
      </c>
      <c r="J9" s="15">
        <f t="shared" si="0"/>
        <v>36371.089193472</v>
      </c>
      <c r="K9">
        <v>217424.68999999997</v>
      </c>
      <c r="L9" s="33">
        <f t="shared" si="2"/>
        <v>0.013940110019041538</v>
      </c>
      <c r="M9" s="33"/>
    </row>
    <row r="10" spans="1:13" ht="24">
      <c r="A10" s="7">
        <v>7</v>
      </c>
      <c r="B10" s="5" t="s">
        <v>25</v>
      </c>
      <c r="C10" s="5" t="s">
        <v>26</v>
      </c>
      <c r="D10" s="9">
        <v>3.8</v>
      </c>
      <c r="E10" s="9">
        <v>1</v>
      </c>
      <c r="F10" s="12">
        <f>4056.59056*D10*E10</f>
        <v>15415.044128</v>
      </c>
      <c r="G10" s="12">
        <f>10061.716995*D10*E10</f>
        <v>38234.524581</v>
      </c>
      <c r="H10" s="12">
        <f t="shared" si="1"/>
        <v>0</v>
      </c>
      <c r="I10" s="12">
        <f>3861.87421312*D10*E10</f>
        <v>14675.122009856</v>
      </c>
      <c r="J10" s="15">
        <f t="shared" si="0"/>
        <v>68324.690718856</v>
      </c>
      <c r="K10">
        <v>217424.68999999997</v>
      </c>
      <c r="L10" s="33">
        <f t="shared" si="2"/>
        <v>0.026187109783030318</v>
      </c>
      <c r="M10" s="33"/>
    </row>
    <row r="11" spans="1:13" ht="12">
      <c r="A11" s="7">
        <v>8</v>
      </c>
      <c r="B11" s="5" t="s">
        <v>27</v>
      </c>
      <c r="C11" s="5" t="s">
        <v>28</v>
      </c>
      <c r="D11" s="9">
        <v>19</v>
      </c>
      <c r="E11" s="9">
        <v>1</v>
      </c>
      <c r="F11" s="12">
        <f>295.944825*D11*E11</f>
        <v>5622.951674999999</v>
      </c>
      <c r="G11" s="12">
        <f>617.4910368*D11*E11</f>
        <v>11732.3296992</v>
      </c>
      <c r="H11" s="12">
        <f t="shared" si="1"/>
        <v>0</v>
      </c>
      <c r="I11" s="12">
        <f>281.7394734*D11*E11</f>
        <v>5353.0499946</v>
      </c>
      <c r="J11" s="15">
        <f t="shared" si="0"/>
        <v>22708.331368799998</v>
      </c>
      <c r="K11">
        <v>217424.68999999997</v>
      </c>
      <c r="L11" s="33">
        <f t="shared" si="2"/>
        <v>0.00870352372308775</v>
      </c>
      <c r="M11" s="33"/>
    </row>
    <row r="12" spans="1:13" ht="12">
      <c r="A12" s="7">
        <v>9</v>
      </c>
      <c r="B12" s="5" t="s">
        <v>29</v>
      </c>
      <c r="C12" s="5" t="s">
        <v>30</v>
      </c>
      <c r="D12" s="9">
        <v>1.9</v>
      </c>
      <c r="E12" s="9">
        <v>1</v>
      </c>
      <c r="F12" s="12">
        <f>3256.190575*D12*E12</f>
        <v>6186.7620925</v>
      </c>
      <c r="G12" s="12">
        <f>44472.3263325*D12*E12</f>
        <v>84497.42003174999</v>
      </c>
      <c r="H12" s="12">
        <f t="shared" si="1"/>
        <v>0</v>
      </c>
      <c r="I12" s="12">
        <f>3099.8934274*D12*E12</f>
        <v>5889.7975120599995</v>
      </c>
      <c r="J12" s="15">
        <f t="shared" si="0"/>
        <v>96573.97963630999</v>
      </c>
      <c r="K12">
        <v>217424.68999999997</v>
      </c>
      <c r="L12" s="33">
        <f t="shared" si="2"/>
        <v>0.037014341086834095</v>
      </c>
      <c r="M12" s="33"/>
    </row>
    <row r="13" spans="1:13" ht="36">
      <c r="A13" s="7">
        <v>10</v>
      </c>
      <c r="B13" s="5" t="s">
        <v>31</v>
      </c>
      <c r="C13" s="5" t="s">
        <v>32</v>
      </c>
      <c r="D13" s="9">
        <v>1.9</v>
      </c>
      <c r="E13" s="9">
        <v>1</v>
      </c>
      <c r="F13" s="12">
        <f>742.116265*D13*E13</f>
        <v>1410.0209035</v>
      </c>
      <c r="G13" s="12">
        <f>8100.04536*D13*E13</f>
        <v>15390.086184</v>
      </c>
      <c r="H13" s="12">
        <f>1474.08498*D13*E13</f>
        <v>2800.761462</v>
      </c>
      <c r="I13" s="12">
        <f>1033.86113292*D13*E13</f>
        <v>1964.336152548</v>
      </c>
      <c r="J13" s="15">
        <f t="shared" si="0"/>
        <v>21565.204702048</v>
      </c>
      <c r="K13">
        <v>217424.68999999997</v>
      </c>
      <c r="L13" s="33">
        <f t="shared" si="2"/>
        <v>0.008265392453071145</v>
      </c>
      <c r="M13" s="33">
        <f>L13+L14+L15+L16+L17+L18+L19+L20+L21</f>
        <v>0.9615130275867869</v>
      </c>
    </row>
    <row r="14" spans="1:13" ht="36">
      <c r="A14" s="7">
        <v>11</v>
      </c>
      <c r="B14" s="5" t="s">
        <v>33</v>
      </c>
      <c r="C14" s="5" t="s">
        <v>34</v>
      </c>
      <c r="D14" s="9">
        <v>7.2</v>
      </c>
      <c r="E14" s="9">
        <v>1</v>
      </c>
      <c r="F14" s="12">
        <f>1727.587345*D14*E14</f>
        <v>12438.628884</v>
      </c>
      <c r="G14" s="12">
        <f>5062.52835*D14*E14</f>
        <v>36450.204119999995</v>
      </c>
      <c r="H14" s="12">
        <f aca="true" t="shared" si="3" ref="H14:H27">0*D14*E14</f>
        <v>0</v>
      </c>
      <c r="I14" s="12">
        <f>1644.66315244*D14*E14</f>
        <v>11841.574697568</v>
      </c>
      <c r="J14" s="15">
        <f t="shared" si="0"/>
        <v>60730.407701567994</v>
      </c>
      <c r="K14">
        <v>217424.68999999997</v>
      </c>
      <c r="L14" s="33">
        <f t="shared" si="2"/>
        <v>0.023276414966782292</v>
      </c>
      <c r="M14" s="33"/>
    </row>
    <row r="15" spans="1:13" ht="36">
      <c r="A15" s="7">
        <v>12</v>
      </c>
      <c r="B15" s="5" t="s">
        <v>35</v>
      </c>
      <c r="C15" s="5" t="s">
        <v>36</v>
      </c>
      <c r="D15" s="9">
        <v>131.2</v>
      </c>
      <c r="E15" s="9">
        <v>1</v>
      </c>
      <c r="F15" s="12">
        <f>923.706575*D15*E15</f>
        <v>121190.30264</v>
      </c>
      <c r="G15" s="12">
        <f>2424.9771315*D15*E15</f>
        <v>318156.9996528</v>
      </c>
      <c r="H15" s="12">
        <f t="shared" si="3"/>
        <v>0</v>
      </c>
      <c r="I15" s="12">
        <f>879.3686594*D15*E15</f>
        <v>115373.16811327999</v>
      </c>
      <c r="J15" s="15">
        <f t="shared" si="0"/>
        <v>554720.47040608</v>
      </c>
      <c r="K15">
        <v>217424.68999999997</v>
      </c>
      <c r="L15" s="33">
        <f t="shared" si="2"/>
        <v>0.2126101955908197</v>
      </c>
      <c r="M15" s="33"/>
    </row>
    <row r="16" spans="1:13" ht="36">
      <c r="A16" s="7">
        <v>13</v>
      </c>
      <c r="B16" s="5" t="s">
        <v>37</v>
      </c>
      <c r="C16" s="5" t="s">
        <v>36</v>
      </c>
      <c r="D16" s="9">
        <v>18.8</v>
      </c>
      <c r="E16" s="9">
        <v>1</v>
      </c>
      <c r="F16" s="12">
        <f>448.40125*D16*E16</f>
        <v>8429.943500000001</v>
      </c>
      <c r="G16" s="12">
        <f>2424.9771315*D16*E16</f>
        <v>45589.5700722</v>
      </c>
      <c r="H16" s="12">
        <f t="shared" si="3"/>
        <v>0</v>
      </c>
      <c r="I16" s="12">
        <f>426.87799*D16*E16</f>
        <v>8025.306212</v>
      </c>
      <c r="J16" s="15">
        <f t="shared" si="0"/>
        <v>62044.8197842</v>
      </c>
      <c r="K16">
        <v>217424.68999999997</v>
      </c>
      <c r="L16" s="33">
        <f t="shared" si="2"/>
        <v>0.023780195564189765</v>
      </c>
      <c r="M16" s="33"/>
    </row>
    <row r="17" spans="1:13" ht="24">
      <c r="A17" s="7">
        <v>14</v>
      </c>
      <c r="B17" s="5" t="s">
        <v>38</v>
      </c>
      <c r="C17" s="5" t="s">
        <v>39</v>
      </c>
      <c r="D17" s="9">
        <v>6.47</v>
      </c>
      <c r="E17" s="9">
        <v>1</v>
      </c>
      <c r="F17" s="12">
        <f>1381.343865*D17*E17</f>
        <v>8937.29480655</v>
      </c>
      <c r="G17" s="12">
        <f>20.53458*D17*E17</f>
        <v>132.8587326</v>
      </c>
      <c r="H17" s="12">
        <f t="shared" si="3"/>
        <v>0</v>
      </c>
      <c r="I17" s="12">
        <f>1315.03935948*D17*E17</f>
        <v>8508.3046558356</v>
      </c>
      <c r="J17" s="15">
        <f t="shared" si="0"/>
        <v>17578.4581949856</v>
      </c>
      <c r="K17">
        <v>217424.68999999997</v>
      </c>
      <c r="L17" s="33">
        <f t="shared" si="2"/>
        <v>0.0067373742892253875</v>
      </c>
      <c r="M17" s="33"/>
    </row>
    <row r="18" spans="1:13" ht="24">
      <c r="A18" s="7">
        <v>15</v>
      </c>
      <c r="B18" s="5" t="s">
        <v>40</v>
      </c>
      <c r="C18" s="5" t="s">
        <v>41</v>
      </c>
      <c r="D18" s="9">
        <v>26.19</v>
      </c>
      <c r="E18" s="9">
        <v>1</v>
      </c>
      <c r="F18" s="12">
        <f>1524.56425*D18*E18</f>
        <v>39928.3377075</v>
      </c>
      <c r="G18" s="12">
        <f>348.286429557*D18*E18</f>
        <v>9121.621590097831</v>
      </c>
      <c r="H18" s="12">
        <f t="shared" si="3"/>
        <v>0</v>
      </c>
      <c r="I18" s="12">
        <f>1451.385166*D18*E18</f>
        <v>38011.77749754</v>
      </c>
      <c r="J18" s="15">
        <f t="shared" si="0"/>
        <v>87061.73679513784</v>
      </c>
      <c r="K18">
        <v>217424.68999999997</v>
      </c>
      <c r="L18" s="33">
        <f t="shared" si="2"/>
        <v>0.03336854123111848</v>
      </c>
      <c r="M18" s="33"/>
    </row>
    <row r="19" spans="1:13" ht="24">
      <c r="A19" s="7">
        <v>16</v>
      </c>
      <c r="B19" s="5" t="s">
        <v>42</v>
      </c>
      <c r="C19" s="5" t="s">
        <v>41</v>
      </c>
      <c r="D19" s="9">
        <v>26.19</v>
      </c>
      <c r="E19" s="9">
        <v>1</v>
      </c>
      <c r="F19" s="12">
        <f>4663.373*D19*E19</f>
        <v>122133.73887</v>
      </c>
      <c r="G19" s="12">
        <f>2310.533481762*D19*E19</f>
        <v>60512.87188734679</v>
      </c>
      <c r="H19" s="12">
        <f t="shared" si="3"/>
        <v>0</v>
      </c>
      <c r="I19" s="12">
        <f>4439.531096*D19*E19</f>
        <v>116271.31940424</v>
      </c>
      <c r="J19" s="15">
        <f t="shared" si="0"/>
        <v>298917.9301615868</v>
      </c>
      <c r="K19">
        <v>217424.68999999997</v>
      </c>
      <c r="L19" s="33">
        <f t="shared" si="2"/>
        <v>0.11456761195550315</v>
      </c>
      <c r="M19" s="33"/>
    </row>
    <row r="20" spans="1:13" ht="24">
      <c r="A20" s="7">
        <v>17</v>
      </c>
      <c r="B20" s="5" t="s">
        <v>43</v>
      </c>
      <c r="C20" s="5" t="s">
        <v>44</v>
      </c>
      <c r="D20" s="9">
        <v>11.6</v>
      </c>
      <c r="E20" s="9">
        <v>1</v>
      </c>
      <c r="F20" s="12">
        <f>17936.05*D20*E20</f>
        <v>208058.18</v>
      </c>
      <c r="G20" s="12">
        <f>11428.020094986*D20*E20</f>
        <v>132565.0331018376</v>
      </c>
      <c r="H20" s="12">
        <f t="shared" si="3"/>
        <v>0</v>
      </c>
      <c r="I20" s="12">
        <f>17075.1196*D20*E20</f>
        <v>198071.38736000002</v>
      </c>
      <c r="J20" s="15">
        <f t="shared" si="0"/>
        <v>538694.6004618376</v>
      </c>
      <c r="K20">
        <v>217424.68999999997</v>
      </c>
      <c r="L20" s="33">
        <f t="shared" si="2"/>
        <v>0.20646788874415845</v>
      </c>
      <c r="M20" s="33"/>
    </row>
    <row r="21" spans="1:13" ht="12">
      <c r="A21" s="7">
        <v>18</v>
      </c>
      <c r="B21" s="5" t="s">
        <v>45</v>
      </c>
      <c r="C21" s="5" t="s">
        <v>44</v>
      </c>
      <c r="D21" s="9">
        <v>204.966</v>
      </c>
      <c r="E21" s="9">
        <v>1</v>
      </c>
      <c r="F21" s="12">
        <f>1972.9655*D21*E21</f>
        <v>404390.846673</v>
      </c>
      <c r="G21" s="12">
        <f>380.528978148*D21*E21</f>
        <v>77995.50253508298</v>
      </c>
      <c r="H21" s="12">
        <f t="shared" si="3"/>
        <v>0</v>
      </c>
      <c r="I21" s="12">
        <f>1878.263156*D21*E21</f>
        <v>384980.086032696</v>
      </c>
      <c r="J21" s="15">
        <f t="shared" si="0"/>
        <v>867366.4352407791</v>
      </c>
      <c r="K21">
        <v>217424.68999999997</v>
      </c>
      <c r="L21" s="33">
        <f t="shared" si="2"/>
        <v>0.3324394127919186</v>
      </c>
      <c r="M21" s="33"/>
    </row>
    <row r="22" spans="1:13" ht="12">
      <c r="A22" s="7">
        <v>19</v>
      </c>
      <c r="B22" s="5" t="s">
        <v>46</v>
      </c>
      <c r="C22" s="5" t="s">
        <v>47</v>
      </c>
      <c r="D22" s="9">
        <v>9</v>
      </c>
      <c r="E22" s="9">
        <v>1</v>
      </c>
      <c r="F22" s="12">
        <f>3240.7056*D22*E22</f>
        <v>29166.3504</v>
      </c>
      <c r="G22" s="12">
        <f>5850.16329051*D22*E22</f>
        <v>52651.469614589994</v>
      </c>
      <c r="H22" s="12">
        <f t="shared" si="3"/>
        <v>0</v>
      </c>
      <c r="I22" s="12">
        <f>3085.1517312*D22*E22</f>
        <v>27766.3655808</v>
      </c>
      <c r="J22" s="15">
        <f t="shared" si="0"/>
        <v>109584.18559539</v>
      </c>
      <c r="K22">
        <v>217424.68999999997</v>
      </c>
      <c r="L22" s="33">
        <f t="shared" si="2"/>
        <v>0.04200082091082894</v>
      </c>
      <c r="M22" s="33">
        <f>L22+L23</f>
        <v>0.04445864901388384</v>
      </c>
    </row>
    <row r="23" spans="1:13" ht="24">
      <c r="A23" s="7">
        <v>20</v>
      </c>
      <c r="B23" s="5" t="s">
        <v>48</v>
      </c>
      <c r="C23" s="5" t="s">
        <v>49</v>
      </c>
      <c r="D23" s="9">
        <v>120</v>
      </c>
      <c r="E23" s="9">
        <v>1</v>
      </c>
      <c r="F23" s="12">
        <f>19.32128*D23*E23</f>
        <v>2318.5536</v>
      </c>
      <c r="G23" s="12">
        <f>15.724112778*D23*E23</f>
        <v>1886.89353336</v>
      </c>
      <c r="H23" s="12">
        <f t="shared" si="3"/>
        <v>0</v>
      </c>
      <c r="I23" s="12">
        <f>18.39385856*D23*E23</f>
        <v>2207.2630272</v>
      </c>
      <c r="J23" s="15">
        <f t="shared" si="0"/>
        <v>6412.71016056</v>
      </c>
      <c r="K23">
        <v>217424.68999999997</v>
      </c>
      <c r="L23" s="33">
        <f t="shared" si="2"/>
        <v>0.002457828103054902</v>
      </c>
      <c r="M23" s="33">
        <f>L23+L24+L25+L26+L27+L28</f>
        <v>0.018316324438825235</v>
      </c>
    </row>
    <row r="24" spans="1:13" ht="12">
      <c r="A24" s="7">
        <v>21</v>
      </c>
      <c r="B24" s="5" t="s">
        <v>50</v>
      </c>
      <c r="C24" s="5" t="s">
        <v>51</v>
      </c>
      <c r="D24" s="9">
        <v>30</v>
      </c>
      <c r="E24" s="9">
        <v>1</v>
      </c>
      <c r="F24" s="12">
        <f>83.4328*D24*E24</f>
        <v>2502.984</v>
      </c>
      <c r="G24" s="12">
        <f>59.87817*D24*E24</f>
        <v>1796.3451</v>
      </c>
      <c r="H24" s="12">
        <f t="shared" si="3"/>
        <v>0</v>
      </c>
      <c r="I24" s="12">
        <f>79.4280256*D24*E24</f>
        <v>2382.840768</v>
      </c>
      <c r="J24" s="15">
        <f t="shared" si="0"/>
        <v>6682.169868</v>
      </c>
      <c r="K24">
        <v>217424.68999999997</v>
      </c>
      <c r="L24" s="33">
        <f t="shared" si="2"/>
        <v>0.0025611051302407285</v>
      </c>
      <c r="M24" s="33"/>
    </row>
    <row r="25" spans="1:13" ht="36">
      <c r="A25" s="7">
        <v>22</v>
      </c>
      <c r="B25" s="5" t="s">
        <v>52</v>
      </c>
      <c r="C25" s="5" t="s">
        <v>53</v>
      </c>
      <c r="D25" s="9">
        <v>30</v>
      </c>
      <c r="E25" s="9">
        <v>1</v>
      </c>
      <c r="F25" s="12">
        <f>108.02352*D25*E25</f>
        <v>3240.7056000000002</v>
      </c>
      <c r="G25" s="12">
        <f>241.9851951*D25*E25</f>
        <v>7259.555853</v>
      </c>
      <c r="H25" s="12">
        <f t="shared" si="3"/>
        <v>0</v>
      </c>
      <c r="I25" s="12">
        <f>102.83839104*D25*E25</f>
        <v>3085.1517312</v>
      </c>
      <c r="J25" s="15">
        <f t="shared" si="0"/>
        <v>13585.413184199999</v>
      </c>
      <c r="K25">
        <v>217424.68999999997</v>
      </c>
      <c r="L25" s="33">
        <f t="shared" si="2"/>
        <v>0.00520694206968859</v>
      </c>
      <c r="M25" s="33"/>
    </row>
    <row r="26" spans="1:13" ht="12">
      <c r="A26" s="7">
        <v>23</v>
      </c>
      <c r="B26" s="5" t="s">
        <v>54</v>
      </c>
      <c r="C26" s="5" t="s">
        <v>51</v>
      </c>
      <c r="D26" s="9">
        <v>30</v>
      </c>
      <c r="E26" s="9">
        <v>1</v>
      </c>
      <c r="F26" s="12">
        <f>116.584325*D26*E26</f>
        <v>3497.52975</v>
      </c>
      <c r="G26" s="12">
        <f>3.17988*D26*E26</f>
        <v>95.3964</v>
      </c>
      <c r="H26" s="12">
        <f t="shared" si="3"/>
        <v>0</v>
      </c>
      <c r="I26" s="12">
        <f>110.9882774*D26*E26</f>
        <v>3329.648322</v>
      </c>
      <c r="J26" s="15">
        <f t="shared" si="0"/>
        <v>6922.574472</v>
      </c>
      <c r="K26">
        <v>217424.68999999997</v>
      </c>
      <c r="L26" s="33">
        <f t="shared" si="2"/>
        <v>0.00265324607798682</v>
      </c>
      <c r="M26" s="33"/>
    </row>
    <row r="27" spans="1:13" ht="12">
      <c r="A27" s="7">
        <v>24</v>
      </c>
      <c r="B27" s="5" t="s">
        <v>55</v>
      </c>
      <c r="C27" s="5" t="s">
        <v>51</v>
      </c>
      <c r="D27" s="9">
        <v>30</v>
      </c>
      <c r="E27" s="9">
        <v>1</v>
      </c>
      <c r="F27" s="12">
        <f>62.776175*D27*E27</f>
        <v>1883.2852500000001</v>
      </c>
      <c r="G27" s="12">
        <f>36.33102*D27*E27</f>
        <v>1089.9306000000001</v>
      </c>
      <c r="H27" s="12">
        <f t="shared" si="3"/>
        <v>0</v>
      </c>
      <c r="I27" s="12">
        <f>59.7629186*D27*E27</f>
        <v>1792.887558</v>
      </c>
      <c r="J27" s="15">
        <f t="shared" si="0"/>
        <v>4766.103408000001</v>
      </c>
      <c r="K27">
        <v>217424.68999999997</v>
      </c>
      <c r="L27" s="33">
        <f t="shared" si="2"/>
        <v>0.0018267257688167804</v>
      </c>
      <c r="M27" s="33"/>
    </row>
    <row r="28" spans="1:13" ht="24">
      <c r="A28" s="7">
        <v>25</v>
      </c>
      <c r="B28" s="5" t="s">
        <v>56</v>
      </c>
      <c r="C28" s="5" t="s">
        <v>57</v>
      </c>
      <c r="D28" s="9">
        <v>0.3</v>
      </c>
      <c r="E28" s="9">
        <v>1</v>
      </c>
      <c r="F28" s="12">
        <f>5320.591925*D28*E28</f>
        <v>1596.1775774999999</v>
      </c>
      <c r="G28" s="12">
        <f>20896.92717948*D28*E28</f>
        <v>6269.078153844</v>
      </c>
      <c r="H28" s="12">
        <f>88.444525*D28*E28</f>
        <v>26.533357499999997</v>
      </c>
      <c r="I28" s="12">
        <f>5094.31258336*D28*E28</f>
        <v>1528.2937750079998</v>
      </c>
      <c r="J28" s="15">
        <f t="shared" si="0"/>
        <v>9420.082863852</v>
      </c>
      <c r="K28">
        <v>217424.68999999997</v>
      </c>
      <c r="L28" s="33">
        <f t="shared" si="2"/>
        <v>0.0036104772890374133</v>
      </c>
      <c r="M28" s="33"/>
    </row>
    <row r="29" spans="1:13" ht="24">
      <c r="A29" s="7">
        <v>26</v>
      </c>
      <c r="B29" s="5" t="s">
        <v>58</v>
      </c>
      <c r="C29" s="5" t="s">
        <v>59</v>
      </c>
      <c r="D29" s="9">
        <v>3</v>
      </c>
      <c r="E29" s="9">
        <v>1</v>
      </c>
      <c r="F29" s="12">
        <f>3278.6325*D29*E29</f>
        <v>9835.897500000001</v>
      </c>
      <c r="G29" s="12">
        <f>8562.7249488*D29*E29</f>
        <v>25688.174846399997</v>
      </c>
      <c r="H29" s="12">
        <f>0*D29*E29</f>
        <v>0</v>
      </c>
      <c r="I29" s="12">
        <f>3121.25814*D29*E29</f>
        <v>9363.77442</v>
      </c>
      <c r="J29" s="15">
        <f t="shared" si="0"/>
        <v>44887.8467664</v>
      </c>
      <c r="K29">
        <v>217424.68999999997</v>
      </c>
      <c r="L29" s="33">
        <f t="shared" si="2"/>
        <v>0.017204365783849113</v>
      </c>
      <c r="M29" s="33">
        <f>L29+L30+L31+L32+L33+L34</f>
        <v>0.4341383669190077</v>
      </c>
    </row>
    <row r="30" spans="1:13" ht="24">
      <c r="A30" s="7">
        <v>27</v>
      </c>
      <c r="B30" s="5" t="s">
        <v>60</v>
      </c>
      <c r="C30" s="5" t="s">
        <v>61</v>
      </c>
      <c r="D30" s="9">
        <v>8.64</v>
      </c>
      <c r="E30" s="9">
        <v>1</v>
      </c>
      <c r="F30" s="12">
        <f>3026.43*D30*E30</f>
        <v>26148.3552</v>
      </c>
      <c r="G30" s="12">
        <f>15493.5426888*D30*E30</f>
        <v>133864.208831232</v>
      </c>
      <c r="H30" s="12">
        <f>68.71122*D30*E30</f>
        <v>593.6649408000001</v>
      </c>
      <c r="I30" s="12">
        <f>2911.8602898*D30*E30</f>
        <v>25158.472903872</v>
      </c>
      <c r="J30" s="15">
        <f t="shared" si="0"/>
        <v>185764.701875904</v>
      </c>
      <c r="K30">
        <v>217424.68999999997</v>
      </c>
      <c r="L30" s="33">
        <f t="shared" si="2"/>
        <v>0.07119886809079502</v>
      </c>
      <c r="M30" s="33"/>
    </row>
    <row r="31" spans="1:13" ht="36">
      <c r="A31" s="7">
        <v>28</v>
      </c>
      <c r="B31" s="5" t="s">
        <v>62</v>
      </c>
      <c r="C31" s="5" t="s">
        <v>41</v>
      </c>
      <c r="D31" s="9">
        <v>0.27</v>
      </c>
      <c r="E31" s="9">
        <v>1</v>
      </c>
      <c r="F31" s="12">
        <f>1500.70459*D31*E31</f>
        <v>405.19023930000003</v>
      </c>
      <c r="G31" s="12">
        <f>1126.01641284*D31*E31</f>
        <v>304.0244314668</v>
      </c>
      <c r="H31" s="12">
        <f>0.5073*D31*E31</f>
        <v>0.136971</v>
      </c>
      <c r="I31" s="12">
        <f>1428.67076968*D31*E31</f>
        <v>385.7411078136</v>
      </c>
      <c r="J31" s="15">
        <f t="shared" si="0"/>
        <v>1095.0927495804</v>
      </c>
      <c r="K31">
        <v>217424.68999999997</v>
      </c>
      <c r="L31" s="33">
        <f t="shared" si="2"/>
        <v>0.0004197210957582601</v>
      </c>
      <c r="M31" s="33"/>
    </row>
    <row r="32" spans="1:13" ht="36">
      <c r="A32" s="7">
        <v>29</v>
      </c>
      <c r="B32" s="5" t="s">
        <v>63</v>
      </c>
      <c r="C32" s="5" t="s">
        <v>64</v>
      </c>
      <c r="D32" s="9">
        <v>30</v>
      </c>
      <c r="E32" s="9">
        <v>1</v>
      </c>
      <c r="F32" s="12">
        <f>6893.535*D32*E32</f>
        <v>206806.05</v>
      </c>
      <c r="G32" s="12">
        <f>16005.8383056*D32*E32</f>
        <v>480175.14916800003</v>
      </c>
      <c r="H32" s="12">
        <f aca="true" t="shared" si="4" ref="H32:H41">0*D32*E32</f>
        <v>0</v>
      </c>
      <c r="I32" s="12">
        <f>6562.64532*D32*E32</f>
        <v>196879.3596</v>
      </c>
      <c r="J32" s="15">
        <f t="shared" si="0"/>
        <v>883860.558768</v>
      </c>
      <c r="K32">
        <v>217424.68999999997</v>
      </c>
      <c r="L32" s="33">
        <f t="shared" si="2"/>
        <v>0.338761189283517</v>
      </c>
      <c r="M32" s="33"/>
    </row>
    <row r="33" spans="1:13" ht="12">
      <c r="A33" s="7">
        <v>30</v>
      </c>
      <c r="B33" s="5" t="s">
        <v>65</v>
      </c>
      <c r="C33" s="5" t="s">
        <v>22</v>
      </c>
      <c r="D33" s="9">
        <v>0.3</v>
      </c>
      <c r="E33" s="9">
        <v>1</v>
      </c>
      <c r="F33" s="12">
        <f>5111.77425*D33*E33</f>
        <v>1533.532275</v>
      </c>
      <c r="G33" s="12">
        <f>21963.830455512*D33*E33</f>
        <v>6589.1491366536</v>
      </c>
      <c r="H33" s="12">
        <f t="shared" si="4"/>
        <v>0</v>
      </c>
      <c r="I33" s="12">
        <f>4866.409086*D33*E33</f>
        <v>1459.9227257999999</v>
      </c>
      <c r="J33" s="15">
        <f t="shared" si="0"/>
        <v>9582.6041374536</v>
      </c>
      <c r="K33">
        <v>217424.68999999997</v>
      </c>
      <c r="L33" s="33">
        <f t="shared" si="2"/>
        <v>0.0036727675444210134</v>
      </c>
      <c r="M33" s="33"/>
    </row>
    <row r="34" spans="1:13" ht="24">
      <c r="A34" s="7">
        <v>31</v>
      </c>
      <c r="B34" s="5" t="s">
        <v>66</v>
      </c>
      <c r="C34" s="5" t="s">
        <v>64</v>
      </c>
      <c r="D34" s="9">
        <v>0.3</v>
      </c>
      <c r="E34" s="9">
        <v>1</v>
      </c>
      <c r="F34" s="12">
        <f>5548.455*D34*E34</f>
        <v>1664.5365</v>
      </c>
      <c r="G34" s="12">
        <f>14229.3952944*D34*E34</f>
        <v>4268.818588319999</v>
      </c>
      <c r="H34" s="12">
        <f t="shared" si="4"/>
        <v>0</v>
      </c>
      <c r="I34" s="12">
        <f>5282.12916*D34*E34</f>
        <v>1584.638748</v>
      </c>
      <c r="J34" s="15">
        <f t="shared" si="0"/>
        <v>7517.99383632</v>
      </c>
      <c r="K34">
        <v>217424.68999999997</v>
      </c>
      <c r="L34" s="33">
        <f t="shared" si="2"/>
        <v>0.002881455120667299</v>
      </c>
      <c r="M34" s="33"/>
    </row>
    <row r="35" spans="1:13" ht="36">
      <c r="A35" s="7">
        <v>32</v>
      </c>
      <c r="B35" s="5" t="s">
        <v>67</v>
      </c>
      <c r="C35" s="5" t="s">
        <v>68</v>
      </c>
      <c r="D35" s="9">
        <v>0.47</v>
      </c>
      <c r="E35" s="9">
        <v>1</v>
      </c>
      <c r="F35" s="12">
        <f>23002.265385*D35*E35</f>
        <v>10811.064730949998</v>
      </c>
      <c r="G35" s="12">
        <f>1980.32076*D35*E35</f>
        <v>930.7507572</v>
      </c>
      <c r="H35" s="12">
        <f t="shared" si="4"/>
        <v>0</v>
      </c>
      <c r="I35" s="12">
        <f>21898.15664652*D35*E35</f>
        <v>10292.1336238644</v>
      </c>
      <c r="J35" s="15">
        <f t="shared" si="0"/>
        <v>22033.949112014398</v>
      </c>
      <c r="K35">
        <v>217424.68999999997</v>
      </c>
      <c r="L35" s="33">
        <f t="shared" si="2"/>
        <v>0.008445050219463115</v>
      </c>
      <c r="M35" s="33">
        <f>L35+L36+L37+L38+L39+L40+L41+L42+L43+L44+L45+L46+L47+L48+L49+L50+L51</f>
        <v>0.38923944716250897</v>
      </c>
    </row>
    <row r="36" spans="1:13" ht="36">
      <c r="A36" s="7">
        <v>33</v>
      </c>
      <c r="B36" s="5" t="s">
        <v>69</v>
      </c>
      <c r="C36" s="5" t="s">
        <v>68</v>
      </c>
      <c r="D36" s="9">
        <v>0.5</v>
      </c>
      <c r="E36" s="9">
        <v>1</v>
      </c>
      <c r="F36" s="12">
        <f>30341.833335*D36*E36</f>
        <v>15170.9166675</v>
      </c>
      <c r="G36" s="12">
        <f>2941.35138*D36*E36</f>
        <v>1470.67569</v>
      </c>
      <c r="H36" s="12">
        <f t="shared" si="4"/>
        <v>0</v>
      </c>
      <c r="I36" s="12">
        <f>28885.42533492*D36*E36</f>
        <v>14442.71266746</v>
      </c>
      <c r="J36" s="15">
        <f aca="true" t="shared" si="5" ref="J36:J58">SUM(F36:I36)</f>
        <v>31084.30502496</v>
      </c>
      <c r="K36">
        <v>217424.68999999997</v>
      </c>
      <c r="L36" s="33">
        <f t="shared" si="2"/>
        <v>0.01191382060648218</v>
      </c>
      <c r="M36" s="33"/>
    </row>
    <row r="37" spans="1:13" ht="24">
      <c r="A37" s="7">
        <v>34</v>
      </c>
      <c r="B37" s="5" t="s">
        <v>70</v>
      </c>
      <c r="C37" s="5" t="s">
        <v>71</v>
      </c>
      <c r="D37" s="9">
        <v>1.5</v>
      </c>
      <c r="E37" s="9">
        <v>1</v>
      </c>
      <c r="F37" s="12">
        <f>16602.67719*D37*E37</f>
        <v>24904.015784999996</v>
      </c>
      <c r="G37" s="12">
        <f>9002.54843235*D37*E37</f>
        <v>13503.822648525002</v>
      </c>
      <c r="H37" s="12">
        <f t="shared" si="4"/>
        <v>0</v>
      </c>
      <c r="I37" s="12">
        <f>15805.74868488*D37*E37</f>
        <v>23708.623027319998</v>
      </c>
      <c r="J37" s="15">
        <f t="shared" si="5"/>
        <v>62116.461460845</v>
      </c>
      <c r="K37">
        <v>217424.68999999997</v>
      </c>
      <c r="L37" s="33">
        <f t="shared" si="2"/>
        <v>0.023807653990003393</v>
      </c>
      <c r="M37" s="33"/>
    </row>
    <row r="38" spans="1:13" ht="24">
      <c r="A38" s="7">
        <v>35</v>
      </c>
      <c r="B38" s="5" t="s">
        <v>72</v>
      </c>
      <c r="C38" s="5" t="s">
        <v>73</v>
      </c>
      <c r="D38" s="9">
        <v>6</v>
      </c>
      <c r="E38" s="9">
        <v>1</v>
      </c>
      <c r="F38" s="12">
        <f>495.2475*D38*E38</f>
        <v>2971.485</v>
      </c>
      <c r="G38" s="12">
        <f>146.0757276*D38*E38</f>
        <v>876.4543656</v>
      </c>
      <c r="H38" s="12">
        <f t="shared" si="4"/>
        <v>0</v>
      </c>
      <c r="I38" s="12">
        <f>471.47562*D38*E38</f>
        <v>2828.85372</v>
      </c>
      <c r="J38" s="15">
        <f t="shared" si="5"/>
        <v>6676.7930856</v>
      </c>
      <c r="K38">
        <v>217424.68999999997</v>
      </c>
      <c r="L38" s="33">
        <f t="shared" si="2"/>
        <v>0.0025590443468034847</v>
      </c>
      <c r="M38" s="33"/>
    </row>
    <row r="39" spans="1:13" ht="12">
      <c r="A39" s="7">
        <v>36</v>
      </c>
      <c r="B39" s="5" t="s">
        <v>74</v>
      </c>
      <c r="C39" s="5" t="s">
        <v>75</v>
      </c>
      <c r="D39" s="9">
        <v>194</v>
      </c>
      <c r="E39" s="9">
        <v>1</v>
      </c>
      <c r="F39" s="12">
        <f>5.26944*D39*E39</f>
        <v>1022.2713600000001</v>
      </c>
      <c r="G39" s="12">
        <f>0.666577989*D39*E39</f>
        <v>129.31612986599998</v>
      </c>
      <c r="H39" s="12">
        <f t="shared" si="4"/>
        <v>0</v>
      </c>
      <c r="I39" s="12">
        <f>5.01650688*D39*E39</f>
        <v>973.20233472</v>
      </c>
      <c r="J39" s="15">
        <f t="shared" si="5"/>
        <v>2124.7898245859997</v>
      </c>
      <c r="K39">
        <v>217424.68999999997</v>
      </c>
      <c r="L39" s="33">
        <f t="shared" si="2"/>
        <v>0.0008143776988505767</v>
      </c>
      <c r="M39" s="33"/>
    </row>
    <row r="40" spans="1:13" ht="12">
      <c r="A40" s="7">
        <v>37</v>
      </c>
      <c r="B40" s="5" t="s">
        <v>76</v>
      </c>
      <c r="C40" s="5" t="s">
        <v>77</v>
      </c>
      <c r="D40" s="9">
        <v>97</v>
      </c>
      <c r="E40" s="9">
        <v>1</v>
      </c>
      <c r="F40" s="12">
        <f>46.553265*D40*E40</f>
        <v>4515.666705000001</v>
      </c>
      <c r="G40" s="12">
        <f>50.65975233*D40*E40</f>
        <v>4913.99597601</v>
      </c>
      <c r="H40" s="12">
        <f t="shared" si="4"/>
        <v>0</v>
      </c>
      <c r="I40" s="12">
        <f>44.31870828*D40*E40</f>
        <v>4298.9147031600005</v>
      </c>
      <c r="J40" s="15">
        <f t="shared" si="5"/>
        <v>13728.577384170001</v>
      </c>
      <c r="K40">
        <v>217424.68999999997</v>
      </c>
      <c r="L40" s="33">
        <f t="shared" si="2"/>
        <v>0.005261813252890001</v>
      </c>
      <c r="M40" s="33"/>
    </row>
    <row r="41" spans="1:13" ht="12">
      <c r="A41" s="7">
        <v>38</v>
      </c>
      <c r="B41" s="5" t="s">
        <v>78</v>
      </c>
      <c r="C41" s="5" t="s">
        <v>79</v>
      </c>
      <c r="D41" s="9">
        <v>30</v>
      </c>
      <c r="E41" s="9">
        <v>1</v>
      </c>
      <c r="F41" s="12">
        <f>13.1736*D41*E41</f>
        <v>395.208</v>
      </c>
      <c r="G41" s="12">
        <f>78.01490466*D41*E41</f>
        <v>2340.4471398</v>
      </c>
      <c r="H41" s="12">
        <f t="shared" si="4"/>
        <v>0</v>
      </c>
      <c r="I41" s="12">
        <f>12.5412672*D41*E41</f>
        <v>376.238016</v>
      </c>
      <c r="J41" s="15">
        <f t="shared" si="5"/>
        <v>3111.8931558000004</v>
      </c>
      <c r="K41">
        <v>217424.68999999997</v>
      </c>
      <c r="L41" s="33">
        <f t="shared" si="2"/>
        <v>0.0011927092072662037</v>
      </c>
      <c r="M41" s="33"/>
    </row>
    <row r="42" spans="1:13" ht="24">
      <c r="A42" s="7">
        <v>39</v>
      </c>
      <c r="B42" s="5" t="s">
        <v>80</v>
      </c>
      <c r="C42" s="5" t="s">
        <v>81</v>
      </c>
      <c r="D42" s="9">
        <v>1.5</v>
      </c>
      <c r="E42" s="9">
        <v>1</v>
      </c>
      <c r="F42" s="12">
        <f>25619.616*D42*E42</f>
        <v>38429.424</v>
      </c>
      <c r="G42" s="12">
        <f>76831.6928544*D42*E42</f>
        <v>115247.5392816</v>
      </c>
      <c r="H42" s="12">
        <f>16.63944*D42*E42</f>
        <v>24.95916</v>
      </c>
      <c r="I42" s="12">
        <f>24389.874432*D42*E42</f>
        <v>36584.811648</v>
      </c>
      <c r="J42" s="15">
        <f t="shared" si="5"/>
        <v>190286.73408959998</v>
      </c>
      <c r="K42">
        <v>217424.68999999997</v>
      </c>
      <c r="L42" s="33">
        <f t="shared" si="2"/>
        <v>0.07293204760140166</v>
      </c>
      <c r="M42" s="33"/>
    </row>
    <row r="43" spans="1:13" ht="12">
      <c r="A43" s="7">
        <v>40</v>
      </c>
      <c r="B43" s="5" t="s">
        <v>82</v>
      </c>
      <c r="C43" s="5" t="s">
        <v>81</v>
      </c>
      <c r="D43" s="9">
        <v>31.04</v>
      </c>
      <c r="E43" s="9">
        <v>1</v>
      </c>
      <c r="F43" s="12">
        <f>6277.6175*D43*E43</f>
        <v>194857.2472</v>
      </c>
      <c r="G43" s="12">
        <f>1562.99757372*D43*E43</f>
        <v>48515.4446882688</v>
      </c>
      <c r="H43" s="12">
        <f aca="true" t="shared" si="6" ref="H43:H50">0*D43*E43</f>
        <v>0</v>
      </c>
      <c r="I43" s="12">
        <f>5976.29186*D43*E43</f>
        <v>185504.0993344</v>
      </c>
      <c r="J43" s="15">
        <f t="shared" si="5"/>
        <v>428876.79122266883</v>
      </c>
      <c r="K43">
        <v>217424.68999999997</v>
      </c>
      <c r="L43" s="33">
        <f t="shared" si="2"/>
        <v>0.16437752585453416</v>
      </c>
      <c r="M43" s="33"/>
    </row>
    <row r="44" spans="1:13" ht="24">
      <c r="A44" s="7">
        <v>41</v>
      </c>
      <c r="B44" s="5" t="s">
        <v>83</v>
      </c>
      <c r="C44" s="5" t="s">
        <v>84</v>
      </c>
      <c r="D44" s="9">
        <v>3</v>
      </c>
      <c r="E44" s="9">
        <v>1</v>
      </c>
      <c r="F44" s="12">
        <f>30.59694*D44*E44</f>
        <v>91.79082</v>
      </c>
      <c r="G44" s="12">
        <f>730.62*D44*E44</f>
        <v>2191.86</v>
      </c>
      <c r="H44" s="12">
        <f t="shared" si="6"/>
        <v>0</v>
      </c>
      <c r="I44" s="12">
        <f>29.12828688*D44*E44</f>
        <v>87.38486064</v>
      </c>
      <c r="J44" s="15">
        <f t="shared" si="5"/>
        <v>2371.0356806400005</v>
      </c>
      <c r="K44">
        <v>217424.68999999997</v>
      </c>
      <c r="L44" s="33">
        <f t="shared" si="2"/>
        <v>0.0009087574493954667</v>
      </c>
      <c r="M44" s="33"/>
    </row>
    <row r="45" spans="1:13" ht="24">
      <c r="A45" s="7">
        <v>42</v>
      </c>
      <c r="B45" s="5" t="s">
        <v>85</v>
      </c>
      <c r="C45" s="5" t="s">
        <v>86</v>
      </c>
      <c r="D45" s="9">
        <v>30</v>
      </c>
      <c r="E45" s="9">
        <v>1</v>
      </c>
      <c r="F45" s="12">
        <f>206.255456*D45*E45</f>
        <v>6187.663680000001</v>
      </c>
      <c r="G45" s="12">
        <f>1788.729250968*D45*E45</f>
        <v>53661.87752904</v>
      </c>
      <c r="H45" s="12">
        <f t="shared" si="6"/>
        <v>0</v>
      </c>
      <c r="I45" s="12">
        <f>196.355194112*D45*E45</f>
        <v>5890.65582336</v>
      </c>
      <c r="J45" s="15">
        <f t="shared" si="5"/>
        <v>65740.1970324</v>
      </c>
      <c r="K45">
        <v>217424.68999999997</v>
      </c>
      <c r="L45" s="33">
        <f t="shared" si="2"/>
        <v>0.02519653932908908</v>
      </c>
      <c r="M45" s="33"/>
    </row>
    <row r="46" spans="1:13" ht="24">
      <c r="A46" s="7">
        <v>43</v>
      </c>
      <c r="B46" s="5" t="s">
        <v>87</v>
      </c>
      <c r="C46" s="5" t="s">
        <v>88</v>
      </c>
      <c r="D46" s="9">
        <v>0.45</v>
      </c>
      <c r="E46" s="9">
        <v>1</v>
      </c>
      <c r="F46" s="12">
        <f>84979.895*D46*E46</f>
        <v>38240.952750000004</v>
      </c>
      <c r="G46" s="12">
        <f>9602.4201174*D46*E46</f>
        <v>4321.089052830001</v>
      </c>
      <c r="H46" s="12">
        <f t="shared" si="6"/>
        <v>0</v>
      </c>
      <c r="I46" s="12">
        <f>80900.86004*D46*E46</f>
        <v>36405.387018</v>
      </c>
      <c r="J46" s="15">
        <f t="shared" si="5"/>
        <v>78967.42882083001</v>
      </c>
      <c r="K46">
        <v>217424.68999999997</v>
      </c>
      <c r="L46" s="33">
        <f t="shared" si="2"/>
        <v>0.030266199613312093</v>
      </c>
      <c r="M46" s="33"/>
    </row>
    <row r="47" spans="1:13" ht="12">
      <c r="A47" s="7">
        <v>44</v>
      </c>
      <c r="B47" s="5" t="s">
        <v>89</v>
      </c>
      <c r="C47" s="5" t="s">
        <v>90</v>
      </c>
      <c r="D47" s="9">
        <v>4.5</v>
      </c>
      <c r="E47" s="9">
        <v>1</v>
      </c>
      <c r="F47" s="12">
        <f>878.24*D47*E47</f>
        <v>3952.08</v>
      </c>
      <c r="G47" s="12">
        <f>135.432*D47*E47</f>
        <v>609.444</v>
      </c>
      <c r="H47" s="12">
        <f t="shared" si="6"/>
        <v>0</v>
      </c>
      <c r="I47" s="12">
        <f>836.08448*D47*E47</f>
        <v>3762.3801599999997</v>
      </c>
      <c r="J47" s="15">
        <f t="shared" si="5"/>
        <v>8323.904159999998</v>
      </c>
      <c r="K47">
        <v>217424.68999999997</v>
      </c>
      <c r="L47" s="33">
        <f t="shared" si="2"/>
        <v>0.0031903399747287204</v>
      </c>
      <c r="M47" s="33"/>
    </row>
    <row r="48" spans="1:13" ht="24">
      <c r="A48" s="7">
        <v>45</v>
      </c>
      <c r="B48" s="5" t="s">
        <v>91</v>
      </c>
      <c r="C48" s="5" t="s">
        <v>92</v>
      </c>
      <c r="D48" s="9">
        <v>9</v>
      </c>
      <c r="E48" s="9">
        <v>1</v>
      </c>
      <c r="F48" s="12">
        <f>289.1196*D48*E48</f>
        <v>2602.0764</v>
      </c>
      <c r="G48" s="12">
        <f>1061.998831674*D48*E48</f>
        <v>9557.989485066</v>
      </c>
      <c r="H48" s="12">
        <f t="shared" si="6"/>
        <v>0</v>
      </c>
      <c r="I48" s="12">
        <f>275.2418592*D48*E48</f>
        <v>2477.1767328</v>
      </c>
      <c r="J48" s="15">
        <f t="shared" si="5"/>
        <v>14637.242617866</v>
      </c>
      <c r="K48">
        <v>217424.68999999997</v>
      </c>
      <c r="L48" s="33">
        <f t="shared" si="2"/>
        <v>0.005610081440868101</v>
      </c>
      <c r="M48" s="33"/>
    </row>
    <row r="49" spans="1:13" ht="12">
      <c r="A49" s="7">
        <v>46</v>
      </c>
      <c r="B49" s="5" t="s">
        <v>93</v>
      </c>
      <c r="C49" s="5" t="s">
        <v>94</v>
      </c>
      <c r="D49" s="9">
        <v>1.94</v>
      </c>
      <c r="E49" s="9">
        <v>1</v>
      </c>
      <c r="F49" s="12">
        <f>3404.05824*D49*E49</f>
        <v>6603.872985599999</v>
      </c>
      <c r="G49" s="12">
        <f>3584.814552*D49*E49</f>
        <v>6954.540230879999</v>
      </c>
      <c r="H49" s="12">
        <f t="shared" si="6"/>
        <v>0</v>
      </c>
      <c r="I49" s="12">
        <f>3240.66344448*D49*E49</f>
        <v>6286.8870822912</v>
      </c>
      <c r="J49" s="15">
        <f t="shared" si="5"/>
        <v>19845.3002987712</v>
      </c>
      <c r="K49">
        <v>217424.68999999997</v>
      </c>
      <c r="L49" s="33">
        <f t="shared" si="2"/>
        <v>0.007606197000430816</v>
      </c>
      <c r="M49" s="33"/>
    </row>
    <row r="50" spans="1:13" ht="24">
      <c r="A50" s="7">
        <v>47</v>
      </c>
      <c r="B50" s="5" t="s">
        <v>95</v>
      </c>
      <c r="C50" s="5" t="s">
        <v>81</v>
      </c>
      <c r="D50" s="9">
        <v>1.57</v>
      </c>
      <c r="E50" s="9">
        <v>1</v>
      </c>
      <c r="F50" s="12">
        <f>8878.34475*D50*E50</f>
        <v>13939.0012575</v>
      </c>
      <c r="G50" s="12">
        <f>2478.9544659*D50*E50</f>
        <v>3891.958511463</v>
      </c>
      <c r="H50" s="12">
        <f t="shared" si="6"/>
        <v>0</v>
      </c>
      <c r="I50" s="12">
        <f>8452.184202*D50*E50</f>
        <v>13269.929197140002</v>
      </c>
      <c r="J50" s="15">
        <f t="shared" si="5"/>
        <v>31100.888966103</v>
      </c>
      <c r="K50">
        <v>217424.68999999997</v>
      </c>
      <c r="L50" s="33">
        <f t="shared" si="2"/>
        <v>0.011920176807773075</v>
      </c>
      <c r="M50" s="33"/>
    </row>
    <row r="51" spans="1:13" ht="36">
      <c r="A51" s="7">
        <v>48</v>
      </c>
      <c r="B51" s="5" t="s">
        <v>96</v>
      </c>
      <c r="C51" s="5" t="s">
        <v>97</v>
      </c>
      <c r="D51" s="9">
        <v>0.45</v>
      </c>
      <c r="E51" s="9">
        <v>1</v>
      </c>
      <c r="F51" s="12">
        <f>35377.88936*D51*E51</f>
        <v>15920.050212</v>
      </c>
      <c r="G51" s="12">
        <f>7263.93492*D51*E51</f>
        <v>3268.7707139999998</v>
      </c>
      <c r="H51" s="12">
        <f>295.20376*D51*E51</f>
        <v>132.841692</v>
      </c>
      <c r="I51" s="12">
        <f>33811.64236912*D51*E51</f>
        <v>15215.239066104003</v>
      </c>
      <c r="J51" s="15">
        <f t="shared" si="5"/>
        <v>34536.90168410401</v>
      </c>
      <c r="K51">
        <v>217424.68999999997</v>
      </c>
      <c r="L51" s="33">
        <f t="shared" si="2"/>
        <v>0.013237112769216785</v>
      </c>
      <c r="M51" s="33"/>
    </row>
    <row r="52" spans="1:13" ht="24">
      <c r="A52" s="7">
        <v>49</v>
      </c>
      <c r="B52" s="5" t="s">
        <v>98</v>
      </c>
      <c r="C52" s="5" t="s">
        <v>99</v>
      </c>
      <c r="D52" s="9">
        <v>0.97</v>
      </c>
      <c r="E52" s="9">
        <v>1</v>
      </c>
      <c r="F52" s="12">
        <f>5269.44*D52*E52</f>
        <v>5111.3568</v>
      </c>
      <c r="G52" s="12">
        <f>6111.4449132*D52*E52</f>
        <v>5928.101565804</v>
      </c>
      <c r="H52" s="12">
        <f aca="true" t="shared" si="7" ref="H52:H58">0*D52*E52</f>
        <v>0</v>
      </c>
      <c r="I52" s="12">
        <f>5016.50688*D52*E52</f>
        <v>4866.0116736</v>
      </c>
      <c r="J52" s="15">
        <f t="shared" si="5"/>
        <v>15905.470039404</v>
      </c>
      <c r="K52">
        <v>217424.68999999997</v>
      </c>
      <c r="L52" s="33">
        <f t="shared" si="2"/>
        <v>0.006096160636664585</v>
      </c>
      <c r="M52" s="33">
        <f>L52+L53+L54+L55+L56+L57+L58</f>
        <v>0.2063128748033433</v>
      </c>
    </row>
    <row r="53" spans="1:13" ht="24">
      <c r="A53" s="7">
        <v>50</v>
      </c>
      <c r="B53" s="5" t="s">
        <v>100</v>
      </c>
      <c r="C53" s="5" t="s">
        <v>101</v>
      </c>
      <c r="D53" s="9">
        <v>0.97</v>
      </c>
      <c r="E53" s="9">
        <v>1</v>
      </c>
      <c r="F53" s="12">
        <f>1932.128*D53*E53</f>
        <v>1874.1641599999998</v>
      </c>
      <c r="G53" s="12">
        <f>1572.4112778*D53*E53</f>
        <v>1525.2389394660001</v>
      </c>
      <c r="H53" s="12">
        <f t="shared" si="7"/>
        <v>0</v>
      </c>
      <c r="I53" s="12">
        <f>1839.385856*D53*E53</f>
        <v>1784.20428032</v>
      </c>
      <c r="J53" s="15">
        <f t="shared" si="5"/>
        <v>5183.607379786</v>
      </c>
      <c r="K53">
        <v>217424.68999999997</v>
      </c>
      <c r="L53" s="33">
        <f t="shared" si="2"/>
        <v>0.0019867443833027124</v>
      </c>
      <c r="M53" s="33"/>
    </row>
    <row r="54" spans="1:13" ht="12">
      <c r="A54" s="7">
        <v>51</v>
      </c>
      <c r="B54" s="5" t="s">
        <v>102</v>
      </c>
      <c r="C54" s="5" t="s">
        <v>64</v>
      </c>
      <c r="D54" s="9">
        <v>0.97</v>
      </c>
      <c r="E54" s="9">
        <v>1</v>
      </c>
      <c r="F54" s="12">
        <f>4566.848*D54*E54</f>
        <v>4429.84256</v>
      </c>
      <c r="G54" s="12">
        <f>5878.2384891252*D54*E54</f>
        <v>5701.891334451444</v>
      </c>
      <c r="H54" s="12">
        <f t="shared" si="7"/>
        <v>0</v>
      </c>
      <c r="I54" s="12">
        <f>4347.639296*D54*E54</f>
        <v>4217.21011712</v>
      </c>
      <c r="J54" s="15">
        <f t="shared" si="5"/>
        <v>14348.944011571446</v>
      </c>
      <c r="K54">
        <v>217424.68999999997</v>
      </c>
      <c r="L54" s="33">
        <f t="shared" si="2"/>
        <v>0.005499583944664338</v>
      </c>
      <c r="M54" s="33"/>
    </row>
    <row r="55" spans="1:13" ht="36">
      <c r="A55" s="7">
        <v>52</v>
      </c>
      <c r="B55" s="5" t="s">
        <v>103</v>
      </c>
      <c r="C55" s="5" t="s">
        <v>104</v>
      </c>
      <c r="D55" s="9">
        <v>5.238</v>
      </c>
      <c r="E55" s="9">
        <v>1</v>
      </c>
      <c r="F55" s="12">
        <f>7315.49643*D55*E55</f>
        <v>38318.570300340005</v>
      </c>
      <c r="G55" s="12">
        <f>1148.31083664*D55*E55</f>
        <v>6014.8521623203205</v>
      </c>
      <c r="H55" s="12">
        <f t="shared" si="7"/>
        <v>0</v>
      </c>
      <c r="I55" s="12">
        <f>6964.35260136*D55*E55</f>
        <v>36479.27892592368</v>
      </c>
      <c r="J55" s="15">
        <f t="shared" si="5"/>
        <v>80812.70138858401</v>
      </c>
      <c r="K55">
        <v>217424.68999999997</v>
      </c>
      <c r="L55" s="33">
        <f t="shared" si="2"/>
        <v>0.030973445483040596</v>
      </c>
      <c r="M55" s="33"/>
    </row>
    <row r="56" spans="1:13" ht="24">
      <c r="A56" s="7">
        <v>53</v>
      </c>
      <c r="B56" s="5" t="s">
        <v>105</v>
      </c>
      <c r="C56" s="5" t="s">
        <v>41</v>
      </c>
      <c r="D56" s="9">
        <v>52.38</v>
      </c>
      <c r="E56" s="9">
        <v>1</v>
      </c>
      <c r="F56" s="12">
        <f>3407.8495*D56*E56</f>
        <v>178503.15681</v>
      </c>
      <c r="G56" s="12">
        <f>940.5104742*D56*E56</f>
        <v>49263.938638596</v>
      </c>
      <c r="H56" s="12">
        <f t="shared" si="7"/>
        <v>0</v>
      </c>
      <c r="I56" s="12">
        <f>3244.272724*D56*E56</f>
        <v>169935.00528312</v>
      </c>
      <c r="J56" s="15">
        <f t="shared" si="5"/>
        <v>397702.100731716</v>
      </c>
      <c r="K56">
        <v>217424.68999999997</v>
      </c>
      <c r="L56" s="33">
        <f t="shared" si="2"/>
        <v>0.15242906280626642</v>
      </c>
      <c r="M56" s="33"/>
    </row>
    <row r="57" spans="1:13" ht="24">
      <c r="A57" s="7">
        <v>54</v>
      </c>
      <c r="B57" s="5" t="s">
        <v>106</v>
      </c>
      <c r="C57" s="5" t="s">
        <v>107</v>
      </c>
      <c r="D57" s="9">
        <v>0.733</v>
      </c>
      <c r="E57" s="9">
        <v>1</v>
      </c>
      <c r="F57" s="12">
        <f>1112.0351*D57*E57</f>
        <v>815.1217283</v>
      </c>
      <c r="G57" s="12">
        <f>207.179775792*D57*E57</f>
        <v>151.86277565553598</v>
      </c>
      <c r="H57" s="12">
        <f t="shared" si="7"/>
        <v>0</v>
      </c>
      <c r="I57" s="12">
        <f>1058.6574152*D57*E57</f>
        <v>775.9958853416</v>
      </c>
      <c r="J57" s="15">
        <f t="shared" si="5"/>
        <v>1742.9803892971358</v>
      </c>
      <c r="K57">
        <v>217424.68999999997</v>
      </c>
      <c r="L57" s="33">
        <f t="shared" si="2"/>
        <v>0.0006680398890059879</v>
      </c>
      <c r="M57" s="33"/>
    </row>
    <row r="58" spans="1:13" ht="24">
      <c r="A58" s="7">
        <v>55</v>
      </c>
      <c r="B58" s="5" t="s">
        <v>108</v>
      </c>
      <c r="C58" s="5" t="s">
        <v>109</v>
      </c>
      <c r="D58" s="9">
        <v>0.1</v>
      </c>
      <c r="E58" s="9">
        <v>1</v>
      </c>
      <c r="F58" s="12">
        <f>12876.435*D58*E58</f>
        <v>1287.6435000000001</v>
      </c>
      <c r="G58" s="12">
        <f>200808.7011315*D58*E58</f>
        <v>20080.870113150002</v>
      </c>
      <c r="H58" s="12">
        <f t="shared" si="7"/>
        <v>0</v>
      </c>
      <c r="I58" s="12">
        <f>12258.36612*D58*E58</f>
        <v>1225.836612</v>
      </c>
      <c r="J58" s="15">
        <f t="shared" si="5"/>
        <v>22594.350225150003</v>
      </c>
      <c r="K58">
        <v>217424.68999999997</v>
      </c>
      <c r="L58" s="33">
        <f t="shared" si="2"/>
        <v>0.008659837660398644</v>
      </c>
      <c r="M58" s="33"/>
    </row>
    <row r="59" spans="1:13" ht="13.5" thickBot="1">
      <c r="A59" s="73" t="s">
        <v>110</v>
      </c>
      <c r="B59" s="74"/>
      <c r="C59" s="74"/>
      <c r="D59" s="74"/>
      <c r="E59" s="74"/>
      <c r="F59" s="13">
        <f>SUM(F4:F58)</f>
        <v>1940530.0409760398</v>
      </c>
      <c r="G59" s="13">
        <f>SUM(G4:G58)</f>
        <v>2218475.756593178</v>
      </c>
      <c r="H59" s="13">
        <f>SUM(H4:H58)</f>
        <v>5389.787948100001</v>
      </c>
      <c r="I59" s="13">
        <f>SUM(I4:I58)</f>
        <v>1849135.2901929703</v>
      </c>
      <c r="J59" s="16">
        <f>SUM(J4:J58)</f>
        <v>6013530.875710289</v>
      </c>
      <c r="L59" s="33"/>
      <c r="M59" s="33"/>
    </row>
    <row r="60" spans="1:13" ht="16.5" thickBot="1" thickTop="1">
      <c r="A60" s="69" t="s">
        <v>111</v>
      </c>
      <c r="B60" s="70"/>
      <c r="C60" s="70"/>
      <c r="D60" s="70"/>
      <c r="E60" s="70"/>
      <c r="F60" s="71"/>
      <c r="G60" s="71"/>
      <c r="H60" s="71"/>
      <c r="I60" s="71"/>
      <c r="J60" s="72"/>
      <c r="L60" s="33"/>
      <c r="M60" s="33"/>
    </row>
    <row r="61" spans="1:13" ht="36.75" thickTop="1">
      <c r="A61" s="6">
        <v>56</v>
      </c>
      <c r="B61" s="4" t="s">
        <v>112</v>
      </c>
      <c r="C61" s="4" t="s">
        <v>113</v>
      </c>
      <c r="D61" s="8">
        <v>6.6</v>
      </c>
      <c r="E61" s="8">
        <v>1</v>
      </c>
      <c r="F61" s="11">
        <f>6277.6175*D61*E61</f>
        <v>41432.275499999996</v>
      </c>
      <c r="G61" s="11">
        <f>19129.22955702*D61*E61</f>
        <v>126252.91507633199</v>
      </c>
      <c r="H61" s="11">
        <f aca="true" t="shared" si="8" ref="H61:H125">0*D61*E61</f>
        <v>0</v>
      </c>
      <c r="I61" s="11">
        <f>5976.29186*D61*E61</f>
        <v>39443.526276</v>
      </c>
      <c r="J61" s="14">
        <f aca="true" t="shared" si="9" ref="J61:J92">SUM(F61:I61)</f>
        <v>207128.71685233197</v>
      </c>
      <c r="K61">
        <v>217424.68999999997</v>
      </c>
      <c r="L61" s="33">
        <f t="shared" si="2"/>
        <v>0.07938714965793903</v>
      </c>
      <c r="M61" s="33">
        <f>L61+L62+L63+L64+L65+L66+L67+L68+L69+L70+L219+L132+L134+L135</f>
        <v>0.8636087398900413</v>
      </c>
    </row>
    <row r="62" spans="1:13" ht="36">
      <c r="A62" s="7">
        <v>57</v>
      </c>
      <c r="B62" s="5" t="s">
        <v>114</v>
      </c>
      <c r="C62" s="5" t="s">
        <v>113</v>
      </c>
      <c r="D62" s="9">
        <v>0.18</v>
      </c>
      <c r="E62" s="9">
        <v>1</v>
      </c>
      <c r="F62" s="12">
        <f>10637.358796941*D62*E62</f>
        <v>1914.72458344938</v>
      </c>
      <c r="G62" s="12">
        <f>27227.03146812*D62*E62</f>
        <v>4900.8656642616</v>
      </c>
      <c r="H62" s="12">
        <f t="shared" si="8"/>
        <v>0</v>
      </c>
      <c r="I62" s="12">
        <f>10126.765574688*D62*E62</f>
        <v>1822.8178034438397</v>
      </c>
      <c r="J62" s="15">
        <f t="shared" si="9"/>
        <v>8638.40805115482</v>
      </c>
      <c r="K62">
        <v>217424.68999999997</v>
      </c>
      <c r="L62" s="33">
        <f t="shared" si="2"/>
        <v>0.0033108812876598104</v>
      </c>
      <c r="M62" s="33"/>
    </row>
    <row r="63" spans="1:13" ht="36">
      <c r="A63" s="7">
        <v>58</v>
      </c>
      <c r="B63" s="5" t="s">
        <v>115</v>
      </c>
      <c r="C63" s="5" t="s">
        <v>113</v>
      </c>
      <c r="D63" s="9">
        <v>0.15</v>
      </c>
      <c r="E63" s="9">
        <v>1</v>
      </c>
      <c r="F63" s="12">
        <f>13835.86897*D63*E63</f>
        <v>2075.3803454999997</v>
      </c>
      <c r="G63" s="12">
        <f>34653.05708238*D63*E63</f>
        <v>5197.958562357</v>
      </c>
      <c r="H63" s="12">
        <f t="shared" si="8"/>
        <v>0</v>
      </c>
      <c r="I63" s="12">
        <f>13171.74725944*D63*E63</f>
        <v>1975.762088916</v>
      </c>
      <c r="J63" s="15">
        <f t="shared" si="9"/>
        <v>9249.100996773</v>
      </c>
      <c r="K63">
        <v>217424.68999999997</v>
      </c>
      <c r="L63" s="33">
        <f t="shared" si="2"/>
        <v>0.0035449443041530846</v>
      </c>
      <c r="M63" s="33"/>
    </row>
    <row r="64" spans="1:13" ht="24">
      <c r="A64" s="7">
        <v>59</v>
      </c>
      <c r="B64" s="5" t="s">
        <v>116</v>
      </c>
      <c r="C64" s="5" t="s">
        <v>117</v>
      </c>
      <c r="D64" s="9">
        <v>3</v>
      </c>
      <c r="E64" s="9">
        <v>1</v>
      </c>
      <c r="F64" s="12">
        <f>1213.356375*D64*E64</f>
        <v>3640.069125</v>
      </c>
      <c r="G64" s="12">
        <f>701.36443377*D64*E64</f>
        <v>2104.0933013100002</v>
      </c>
      <c r="H64" s="12">
        <f t="shared" si="8"/>
        <v>0</v>
      </c>
      <c r="I64" s="12">
        <f>1155.115269*D64*E64</f>
        <v>3465.3458069999997</v>
      </c>
      <c r="J64" s="15">
        <f t="shared" si="9"/>
        <v>9209.50823331</v>
      </c>
      <c r="K64">
        <v>217424.68999999997</v>
      </c>
      <c r="L64" s="33">
        <f t="shared" si="2"/>
        <v>0.00352976940862834</v>
      </c>
      <c r="M64" s="33"/>
    </row>
    <row r="65" spans="1:13" ht="24">
      <c r="A65" s="7">
        <v>60</v>
      </c>
      <c r="B65" s="5" t="s">
        <v>118</v>
      </c>
      <c r="C65" s="5" t="s">
        <v>119</v>
      </c>
      <c r="D65" s="9">
        <v>0.396</v>
      </c>
      <c r="E65" s="9">
        <v>1</v>
      </c>
      <c r="F65" s="12">
        <f>8322.6825*D65*E65</f>
        <v>3295.7822700000006</v>
      </c>
      <c r="G65" s="12">
        <f>377010.04880478*D65*E65</f>
        <v>149295.97932669288</v>
      </c>
      <c r="H65" s="12">
        <f t="shared" si="8"/>
        <v>0</v>
      </c>
      <c r="I65" s="12">
        <f>7923.19374*D65*E65</f>
        <v>3137.58472104</v>
      </c>
      <c r="J65" s="15">
        <f t="shared" si="9"/>
        <v>155729.34631773288</v>
      </c>
      <c r="K65">
        <v>217424.68999999997</v>
      </c>
      <c r="L65" s="33">
        <f t="shared" si="2"/>
        <v>0.05968708303770718</v>
      </c>
      <c r="M65" s="33"/>
    </row>
    <row r="66" spans="1:13" ht="12">
      <c r="A66" s="7">
        <v>61</v>
      </c>
      <c r="B66" s="5" t="s">
        <v>120</v>
      </c>
      <c r="C66" s="5" t="s">
        <v>121</v>
      </c>
      <c r="D66" s="9">
        <v>30</v>
      </c>
      <c r="E66" s="9">
        <v>1</v>
      </c>
      <c r="F66" s="12">
        <f>253.76*D66*E66</f>
        <v>7612.799999999999</v>
      </c>
      <c r="G66" s="12">
        <f>18114.67627695*D66*E66</f>
        <v>543440.2883085</v>
      </c>
      <c r="H66" s="12">
        <f t="shared" si="8"/>
        <v>0</v>
      </c>
      <c r="I66" s="12">
        <f>241.57952*D66*E66</f>
        <v>7247.3856</v>
      </c>
      <c r="J66" s="15">
        <f t="shared" si="9"/>
        <v>558300.4739085</v>
      </c>
      <c r="K66">
        <v>217424.68999999997</v>
      </c>
      <c r="L66" s="33">
        <f t="shared" si="2"/>
        <v>0.21398231954418337</v>
      </c>
      <c r="M66" s="33"/>
    </row>
    <row r="67" spans="1:13" ht="12">
      <c r="A67" s="7">
        <v>62</v>
      </c>
      <c r="B67" s="5" t="s">
        <v>122</v>
      </c>
      <c r="C67" s="5" t="s">
        <v>121</v>
      </c>
      <c r="D67" s="9">
        <v>30</v>
      </c>
      <c r="E67" s="9">
        <v>0.1</v>
      </c>
      <c r="F67" s="12">
        <f>308.66*D67*E67</f>
        <v>925.9800000000001</v>
      </c>
      <c r="G67" s="12">
        <f>57202.2*D67*E67</f>
        <v>171606.6</v>
      </c>
      <c r="H67" s="12">
        <f t="shared" si="8"/>
        <v>0</v>
      </c>
      <c r="I67" s="12">
        <f>293.84432*D67*E67</f>
        <v>881.53296</v>
      </c>
      <c r="J67" s="15">
        <f t="shared" si="9"/>
        <v>173414.11296000003</v>
      </c>
      <c r="K67">
        <v>217424.68999999997</v>
      </c>
      <c r="L67" s="33">
        <f t="shared" si="2"/>
        <v>0.06646520264096963</v>
      </c>
      <c r="M67" s="33"/>
    </row>
    <row r="68" spans="1:13" ht="24">
      <c r="A68" s="7">
        <v>63</v>
      </c>
      <c r="B68" s="5" t="s">
        <v>123</v>
      </c>
      <c r="C68" s="5" t="s">
        <v>124</v>
      </c>
      <c r="D68" s="9">
        <v>30</v>
      </c>
      <c r="E68" s="9">
        <v>1</v>
      </c>
      <c r="F68" s="12">
        <f>1370.16*D68*E68</f>
        <v>41104.8</v>
      </c>
      <c r="G68" s="12">
        <f>4027.740948198*D68*E68</f>
        <v>120832.22844594</v>
      </c>
      <c r="H68" s="12">
        <f t="shared" si="8"/>
        <v>0</v>
      </c>
      <c r="I68" s="12">
        <f>1304.39232*D68*E68</f>
        <v>39131.7696</v>
      </c>
      <c r="J68" s="15">
        <f t="shared" si="9"/>
        <v>201068.79804594</v>
      </c>
      <c r="K68">
        <v>217424.68999999997</v>
      </c>
      <c r="L68" s="33">
        <f t="shared" si="2"/>
        <v>0.07706453747499882</v>
      </c>
      <c r="M68" s="33"/>
    </row>
    <row r="69" spans="1:13" ht="24">
      <c r="A69" s="7">
        <v>64</v>
      </c>
      <c r="B69" s="5" t="s">
        <v>125</v>
      </c>
      <c r="C69" s="5" t="s">
        <v>94</v>
      </c>
      <c r="D69" s="9">
        <v>0.3</v>
      </c>
      <c r="E69" s="9">
        <v>1</v>
      </c>
      <c r="F69" s="12">
        <f>25110.47*D69*E69</f>
        <v>7533.141</v>
      </c>
      <c r="G69" s="12">
        <f>200218.16631861*D69*E69</f>
        <v>60065.44989558299</v>
      </c>
      <c r="H69" s="12">
        <f t="shared" si="8"/>
        <v>0</v>
      </c>
      <c r="I69" s="12">
        <f>23905.16744*D69*E69</f>
        <v>7171.5502320000005</v>
      </c>
      <c r="J69" s="15">
        <f t="shared" si="9"/>
        <v>74770.14112758299</v>
      </c>
      <c r="K69">
        <v>217424.68999999997</v>
      </c>
      <c r="L69" s="33">
        <f aca="true" t="shared" si="10" ref="L69:L134">J69/K69/12</f>
        <v>0.028657486387425685</v>
      </c>
      <c r="M69" s="33"/>
    </row>
    <row r="70" spans="1:13" ht="36">
      <c r="A70" s="7">
        <v>65</v>
      </c>
      <c r="B70" s="5" t="s">
        <v>126</v>
      </c>
      <c r="C70" s="5" t="s">
        <v>94</v>
      </c>
      <c r="D70" s="9">
        <v>0.3</v>
      </c>
      <c r="E70" s="9">
        <v>1</v>
      </c>
      <c r="F70" s="12">
        <f>36768.9025*D70*E70</f>
        <v>11030.67075</v>
      </c>
      <c r="G70" s="12">
        <f>6064.03911861*D70*E70</f>
        <v>1819.2117355829998</v>
      </c>
      <c r="H70" s="12">
        <f t="shared" si="8"/>
        <v>0</v>
      </c>
      <c r="I70" s="12">
        <f>35003.99518*D70*E70</f>
        <v>10501.198553999999</v>
      </c>
      <c r="J70" s="15">
        <f t="shared" si="9"/>
        <v>23351.081039582998</v>
      </c>
      <c r="K70">
        <v>217424.68999999997</v>
      </c>
      <c r="L70" s="33">
        <f t="shared" si="10"/>
        <v>0.008949873264003504</v>
      </c>
      <c r="M70" s="33"/>
    </row>
    <row r="71" spans="1:13" ht="24">
      <c r="A71" s="7">
        <v>66</v>
      </c>
      <c r="B71" s="5" t="s">
        <v>127</v>
      </c>
      <c r="C71" s="5" t="s">
        <v>128</v>
      </c>
      <c r="D71" s="9">
        <v>0.3</v>
      </c>
      <c r="E71" s="9">
        <v>1</v>
      </c>
      <c r="F71" s="12">
        <f>5150.574*D71*E71</f>
        <v>1545.1721999999997</v>
      </c>
      <c r="G71" s="12">
        <f>18827.77980303*D71*E71</f>
        <v>5648.3339409089995</v>
      </c>
      <c r="H71" s="12">
        <f t="shared" si="8"/>
        <v>0</v>
      </c>
      <c r="I71" s="12">
        <f>4903.346448*D71*E71</f>
        <v>1471.0039344</v>
      </c>
      <c r="J71" s="15">
        <f t="shared" si="9"/>
        <v>8664.510075309</v>
      </c>
      <c r="K71">
        <v>217424.68999999997</v>
      </c>
      <c r="L71" s="33">
        <f t="shared" si="10"/>
        <v>0.003320885527194497</v>
      </c>
      <c r="M71" s="33">
        <f>L71+L72+L73+L74+L75+L76+L77+L78+L79+L80+L81+L82+L83+L84+L85+L86+L87+L88+L89+L90+L91+L124</f>
        <v>1.2305936454955004</v>
      </c>
    </row>
    <row r="72" spans="1:13" ht="24">
      <c r="A72" s="7">
        <v>67</v>
      </c>
      <c r="B72" s="5" t="s">
        <v>129</v>
      </c>
      <c r="C72" s="5" t="s">
        <v>130</v>
      </c>
      <c r="D72" s="9">
        <v>0.5</v>
      </c>
      <c r="E72" s="9">
        <v>1</v>
      </c>
      <c r="F72" s="12">
        <f>10278.0425*D72*E72</f>
        <v>5139.02125</v>
      </c>
      <c r="G72" s="12">
        <f>19017.1705086*D72*E72</f>
        <v>9508.5852543</v>
      </c>
      <c r="H72" s="12">
        <f t="shared" si="8"/>
        <v>0</v>
      </c>
      <c r="I72" s="12">
        <f>9784.69646*D72*E72</f>
        <v>4892.34823</v>
      </c>
      <c r="J72" s="15">
        <f t="shared" si="9"/>
        <v>19539.9547343</v>
      </c>
      <c r="K72">
        <v>217424.68999999997</v>
      </c>
      <c r="L72" s="33">
        <f t="shared" si="10"/>
        <v>0.007489165840326905</v>
      </c>
      <c r="M72" s="33"/>
    </row>
    <row r="73" spans="1:13" ht="36">
      <c r="A73" s="7">
        <v>68</v>
      </c>
      <c r="B73" s="5" t="s">
        <v>131</v>
      </c>
      <c r="C73" s="5" t="s">
        <v>84</v>
      </c>
      <c r="D73" s="9">
        <v>30</v>
      </c>
      <c r="E73" s="9">
        <v>0.1</v>
      </c>
      <c r="F73" s="12">
        <f>1232.778945*D73*E73</f>
        <v>3698.3368350000005</v>
      </c>
      <c r="G73" s="12">
        <f>57202.2*D73*E73</f>
        <v>171606.6</v>
      </c>
      <c r="H73" s="12">
        <f t="shared" si="8"/>
        <v>0</v>
      </c>
      <c r="I73" s="12">
        <f>1173.60555564*D73*E73</f>
        <v>3520.81666692</v>
      </c>
      <c r="J73" s="15">
        <f t="shared" si="9"/>
        <v>178825.75350192</v>
      </c>
      <c r="K73">
        <v>217424.68999999997</v>
      </c>
      <c r="L73" s="33">
        <f t="shared" si="10"/>
        <v>0.06853934631416515</v>
      </c>
      <c r="M73" s="33"/>
    </row>
    <row r="74" spans="1:13" ht="48">
      <c r="A74" s="7">
        <v>69</v>
      </c>
      <c r="B74" s="5" t="s">
        <v>132</v>
      </c>
      <c r="C74" s="5" t="s">
        <v>133</v>
      </c>
      <c r="D74" s="9">
        <v>7.5</v>
      </c>
      <c r="E74" s="9">
        <v>1</v>
      </c>
      <c r="F74" s="12">
        <f>10887.18235*D74*E74</f>
        <v>81653.867625</v>
      </c>
      <c r="G74" s="12">
        <f>20295.26809002*D74*E74</f>
        <v>152214.51067515</v>
      </c>
      <c r="H74" s="12">
        <f t="shared" si="8"/>
        <v>0</v>
      </c>
      <c r="I74" s="12">
        <f>10364.5975972*D74*E74</f>
        <v>77734.481979</v>
      </c>
      <c r="J74" s="15">
        <f t="shared" si="9"/>
        <v>311602.86027914996</v>
      </c>
      <c r="K74">
        <v>217424.68999999997</v>
      </c>
      <c r="L74" s="33">
        <f t="shared" si="10"/>
        <v>0.11942942185297585</v>
      </c>
      <c r="M74" s="33"/>
    </row>
    <row r="75" spans="1:13" ht="48">
      <c r="A75" s="7">
        <v>70</v>
      </c>
      <c r="B75" s="5" t="s">
        <v>134</v>
      </c>
      <c r="C75" s="5" t="s">
        <v>133</v>
      </c>
      <c r="D75" s="9">
        <v>1.2</v>
      </c>
      <c r="E75" s="9">
        <v>1</v>
      </c>
      <c r="F75" s="12">
        <f>12097.865725*D75*E75</f>
        <v>14517.43887</v>
      </c>
      <c r="G75" s="12">
        <f>22080.5684451*D75*E75</f>
        <v>26496.68213412</v>
      </c>
      <c r="H75" s="12">
        <f t="shared" si="8"/>
        <v>0</v>
      </c>
      <c r="I75" s="12">
        <f>11517.1681702*D75*E75</f>
        <v>13820.601804240001</v>
      </c>
      <c r="J75" s="15">
        <f t="shared" si="9"/>
        <v>54834.722808360006</v>
      </c>
      <c r="K75">
        <v>217424.68999999997</v>
      </c>
      <c r="L75" s="33">
        <f t="shared" si="10"/>
        <v>0.02101674945025793</v>
      </c>
      <c r="M75" s="33"/>
    </row>
    <row r="76" spans="1:13" ht="36">
      <c r="A76" s="7">
        <v>71</v>
      </c>
      <c r="B76" s="5" t="s">
        <v>135</v>
      </c>
      <c r="C76" s="5" t="s">
        <v>136</v>
      </c>
      <c r="D76" s="9">
        <v>0.24</v>
      </c>
      <c r="E76" s="9">
        <v>1</v>
      </c>
      <c r="F76" s="12">
        <f>3249.488*D76*E76</f>
        <v>779.8771199999999</v>
      </c>
      <c r="G76" s="12">
        <f>8635.6365282*D76*E76</f>
        <v>2072.552766768</v>
      </c>
      <c r="H76" s="12">
        <f t="shared" si="8"/>
        <v>0</v>
      </c>
      <c r="I76" s="12">
        <f>3093.512576*D76*E76</f>
        <v>742.44301824</v>
      </c>
      <c r="J76" s="15">
        <f t="shared" si="9"/>
        <v>3594.872905008</v>
      </c>
      <c r="K76">
        <v>217424.68999999997</v>
      </c>
      <c r="L76" s="33">
        <f t="shared" si="10"/>
        <v>0.0013778230157945725</v>
      </c>
      <c r="M76" s="33"/>
    </row>
    <row r="77" spans="1:13" ht="24">
      <c r="A77" s="7">
        <v>72</v>
      </c>
      <c r="B77" s="5" t="s">
        <v>137</v>
      </c>
      <c r="C77" s="5" t="s">
        <v>138</v>
      </c>
      <c r="D77" s="9">
        <v>0.3</v>
      </c>
      <c r="E77" s="9">
        <v>1</v>
      </c>
      <c r="F77" s="12">
        <f>2842.72065*D77*E77</f>
        <v>852.816195</v>
      </c>
      <c r="G77" s="12">
        <f>2144.162260152*D77*E77</f>
        <v>643.2486780456</v>
      </c>
      <c r="H77" s="12">
        <f t="shared" si="8"/>
        <v>0</v>
      </c>
      <c r="I77" s="12">
        <f>2706.2700588*D77*E77</f>
        <v>811.8810176399999</v>
      </c>
      <c r="J77" s="15">
        <f t="shared" si="9"/>
        <v>2307.9458906856</v>
      </c>
      <c r="K77">
        <v>217424.68999999997</v>
      </c>
      <c r="L77" s="33">
        <f t="shared" si="10"/>
        <v>0.0008845767434406829</v>
      </c>
      <c r="M77" s="33"/>
    </row>
    <row r="78" spans="1:13" ht="24">
      <c r="A78" s="7">
        <v>73</v>
      </c>
      <c r="B78" s="5" t="s">
        <v>139</v>
      </c>
      <c r="C78" s="5" t="s">
        <v>138</v>
      </c>
      <c r="D78" s="9">
        <v>0.3</v>
      </c>
      <c r="E78" s="9">
        <v>1</v>
      </c>
      <c r="F78" s="12">
        <f>4120.4592*D78*E78</f>
        <v>1236.13776</v>
      </c>
      <c r="G78" s="12">
        <f>3352.389543063*D78*E78</f>
        <v>1005.7168629189</v>
      </c>
      <c r="H78" s="12">
        <f t="shared" si="8"/>
        <v>0</v>
      </c>
      <c r="I78" s="12">
        <f>3922.6771584*D78*E78</f>
        <v>1176.8031475199998</v>
      </c>
      <c r="J78" s="15">
        <f t="shared" si="9"/>
        <v>3418.6577704389</v>
      </c>
      <c r="K78">
        <v>217424.68999999997</v>
      </c>
      <c r="L78" s="33">
        <f t="shared" si="10"/>
        <v>0.0013102842530743637</v>
      </c>
      <c r="M78" s="33"/>
    </row>
    <row r="79" spans="1:13" ht="24">
      <c r="A79" s="7">
        <v>74</v>
      </c>
      <c r="B79" s="5" t="s">
        <v>140</v>
      </c>
      <c r="C79" s="5" t="s">
        <v>138</v>
      </c>
      <c r="D79" s="9">
        <v>0.3</v>
      </c>
      <c r="E79" s="9">
        <v>1</v>
      </c>
      <c r="F79" s="12">
        <f>7032.5145*D79*E79</f>
        <v>2109.75435</v>
      </c>
      <c r="G79" s="12">
        <f>5594.14448109*D79*E79</f>
        <v>1678.243344327</v>
      </c>
      <c r="H79" s="12">
        <f t="shared" si="8"/>
        <v>0</v>
      </c>
      <c r="I79" s="12">
        <f>6694.953804*D79*E79</f>
        <v>2008.4861411999998</v>
      </c>
      <c r="J79" s="15">
        <f t="shared" si="9"/>
        <v>5796.483835527</v>
      </c>
      <c r="K79">
        <v>217424.68999999997</v>
      </c>
      <c r="L79" s="33">
        <f t="shared" si="10"/>
        <v>0.002221644283486158</v>
      </c>
      <c r="M79" s="33"/>
    </row>
    <row r="80" spans="1:13" ht="48">
      <c r="A80" s="7">
        <v>75</v>
      </c>
      <c r="B80" s="5" t="s">
        <v>141</v>
      </c>
      <c r="C80" s="5" t="s">
        <v>142</v>
      </c>
      <c r="D80" s="9">
        <v>30</v>
      </c>
      <c r="E80" s="9">
        <v>1</v>
      </c>
      <c r="F80" s="12">
        <f>11.41712*D80*E80</f>
        <v>342.5136</v>
      </c>
      <c r="G80" s="12">
        <f>0.8361421992*D80*E80</f>
        <v>25.084265976</v>
      </c>
      <c r="H80" s="12">
        <f t="shared" si="8"/>
        <v>0</v>
      </c>
      <c r="I80" s="12">
        <f>10.86909824*D80*E80</f>
        <v>326.0729472</v>
      </c>
      <c r="J80" s="15">
        <f t="shared" si="9"/>
        <v>693.6708131759999</v>
      </c>
      <c r="K80">
        <v>217424.68999999997</v>
      </c>
      <c r="L80" s="33">
        <f t="shared" si="10"/>
        <v>0.000265866314897356</v>
      </c>
      <c r="M80" s="33"/>
    </row>
    <row r="81" spans="1:13" ht="48">
      <c r="A81" s="7">
        <v>76</v>
      </c>
      <c r="B81" s="5" t="s">
        <v>143</v>
      </c>
      <c r="C81" s="5" t="s">
        <v>142</v>
      </c>
      <c r="D81" s="9">
        <v>30</v>
      </c>
      <c r="E81" s="9">
        <v>1</v>
      </c>
      <c r="F81" s="12">
        <f>11.41712*D81*E81</f>
        <v>342.5136</v>
      </c>
      <c r="G81" s="12">
        <f>1.7692053984*D81*E81</f>
        <v>53.076161952</v>
      </c>
      <c r="H81" s="12">
        <f t="shared" si="8"/>
        <v>0</v>
      </c>
      <c r="I81" s="12">
        <f>10.86909824*D81*E81</f>
        <v>326.0729472</v>
      </c>
      <c r="J81" s="15">
        <f t="shared" si="9"/>
        <v>721.6627091519999</v>
      </c>
      <c r="K81">
        <v>217424.68999999997</v>
      </c>
      <c r="L81" s="33">
        <f t="shared" si="10"/>
        <v>0.00027659489405734006</v>
      </c>
      <c r="M81" s="33"/>
    </row>
    <row r="82" spans="1:13" ht="48">
      <c r="A82" s="7">
        <v>77</v>
      </c>
      <c r="B82" s="5" t="s">
        <v>144</v>
      </c>
      <c r="C82" s="5" t="s">
        <v>142</v>
      </c>
      <c r="D82" s="9">
        <v>30</v>
      </c>
      <c r="E82" s="9">
        <v>1</v>
      </c>
      <c r="F82" s="12">
        <f>11.41712*D82*E82</f>
        <v>342.5136</v>
      </c>
      <c r="G82" s="12">
        <f>2.7022685976*D82*E82</f>
        <v>81.068057928</v>
      </c>
      <c r="H82" s="12">
        <f t="shared" si="8"/>
        <v>0</v>
      </c>
      <c r="I82" s="12">
        <f>10.86909824*D82*E82</f>
        <v>326.0729472</v>
      </c>
      <c r="J82" s="15">
        <f t="shared" si="9"/>
        <v>749.654605128</v>
      </c>
      <c r="K82">
        <v>217424.68999999997</v>
      </c>
      <c r="L82" s="33">
        <f t="shared" si="10"/>
        <v>0.00028732347321732413</v>
      </c>
      <c r="M82" s="33"/>
    </row>
    <row r="83" spans="1:13" ht="24">
      <c r="A83" s="7">
        <v>78</v>
      </c>
      <c r="B83" s="5" t="s">
        <v>145</v>
      </c>
      <c r="C83" s="5" t="s">
        <v>146</v>
      </c>
      <c r="D83" s="9">
        <v>60</v>
      </c>
      <c r="E83" s="9">
        <v>1</v>
      </c>
      <c r="F83" s="12">
        <f>118.8594*D83*E83</f>
        <v>7131.563999999999</v>
      </c>
      <c r="G83" s="12">
        <f>0*D83*E83</f>
        <v>0</v>
      </c>
      <c r="H83" s="12">
        <f t="shared" si="8"/>
        <v>0</v>
      </c>
      <c r="I83" s="12">
        <f>113.1541488*D83*E83</f>
        <v>6789.248928</v>
      </c>
      <c r="J83" s="15">
        <f t="shared" si="9"/>
        <v>13920.812928</v>
      </c>
      <c r="K83">
        <v>217424.68999999997</v>
      </c>
      <c r="L83" s="33">
        <f t="shared" si="10"/>
        <v>0.005335492229516344</v>
      </c>
      <c r="M83" s="33"/>
    </row>
    <row r="84" spans="1:13" ht="12">
      <c r="A84" s="7">
        <v>79</v>
      </c>
      <c r="B84" s="5" t="s">
        <v>147</v>
      </c>
      <c r="C84" s="5" t="s">
        <v>146</v>
      </c>
      <c r="D84" s="9">
        <v>60</v>
      </c>
      <c r="E84" s="9">
        <v>1</v>
      </c>
      <c r="F84" s="12">
        <f>864.98*D84*E84</f>
        <v>51898.8</v>
      </c>
      <c r="G84" s="12">
        <f>6633*D84*E84</f>
        <v>397980</v>
      </c>
      <c r="H84" s="12">
        <f t="shared" si="8"/>
        <v>0</v>
      </c>
      <c r="I84" s="12">
        <f>823.46096*D84*E84</f>
        <v>49407.6576</v>
      </c>
      <c r="J84" s="15">
        <f t="shared" si="9"/>
        <v>499286.45759999997</v>
      </c>
      <c r="K84">
        <v>217424.68999999997</v>
      </c>
      <c r="L84" s="33">
        <f t="shared" si="10"/>
        <v>0.19136375358290728</v>
      </c>
      <c r="M84" s="33"/>
    </row>
    <row r="85" spans="1:13" ht="24">
      <c r="A85" s="7">
        <v>80</v>
      </c>
      <c r="B85" s="5" t="s">
        <v>148</v>
      </c>
      <c r="C85" s="5" t="s">
        <v>119</v>
      </c>
      <c r="D85" s="9">
        <v>0.37</v>
      </c>
      <c r="E85" s="9">
        <v>1</v>
      </c>
      <c r="F85" s="12">
        <f>8322.6825*D85*E85</f>
        <v>3079.392525</v>
      </c>
      <c r="G85" s="12">
        <f>377010.04125906*D85*E85</f>
        <v>139493.7152658522</v>
      </c>
      <c r="H85" s="12">
        <f t="shared" si="8"/>
        <v>0</v>
      </c>
      <c r="I85" s="12">
        <f>7923.19374*D85*E85</f>
        <v>2931.5816838</v>
      </c>
      <c r="J85" s="15">
        <f t="shared" si="9"/>
        <v>145504.6894746522</v>
      </c>
      <c r="K85">
        <v>217424.68999999997</v>
      </c>
      <c r="L85" s="33">
        <f t="shared" si="10"/>
        <v>0.05576823308132278</v>
      </c>
      <c r="M85" s="33"/>
    </row>
    <row r="86" spans="1:13" ht="36">
      <c r="A86" s="7">
        <v>81</v>
      </c>
      <c r="B86" s="5" t="s">
        <v>149</v>
      </c>
      <c r="C86" s="5" t="s">
        <v>150</v>
      </c>
      <c r="D86" s="9">
        <v>0.37</v>
      </c>
      <c r="E86" s="9">
        <v>1</v>
      </c>
      <c r="F86" s="12">
        <f>4267.455764*D86*E86</f>
        <v>1578.9586326800002</v>
      </c>
      <c r="G86" s="12">
        <f>1179.66069738*D86*E86</f>
        <v>436.47445803060003</v>
      </c>
      <c r="H86" s="12">
        <f t="shared" si="8"/>
        <v>0</v>
      </c>
      <c r="I86" s="12">
        <f>4062.617887328*D86*E86</f>
        <v>1503.16861831136</v>
      </c>
      <c r="J86" s="15">
        <f t="shared" si="9"/>
        <v>3518.6017090219602</v>
      </c>
      <c r="K86">
        <v>217424.68999999997</v>
      </c>
      <c r="L86" s="33">
        <f t="shared" si="10"/>
        <v>0.0013485902133983192</v>
      </c>
      <c r="M86" s="33"/>
    </row>
    <row r="87" spans="1:13" ht="24">
      <c r="A87" s="7">
        <v>82</v>
      </c>
      <c r="B87" s="5" t="s">
        <v>151</v>
      </c>
      <c r="C87" s="5" t="s">
        <v>150</v>
      </c>
      <c r="D87" s="9">
        <v>0.37</v>
      </c>
      <c r="E87" s="9">
        <v>1</v>
      </c>
      <c r="F87" s="12">
        <f>184.7153*D87*E87</f>
        <v>68.344661</v>
      </c>
      <c r="G87" s="12">
        <f>0*D87*E87</f>
        <v>0</v>
      </c>
      <c r="H87" s="12">
        <f t="shared" si="8"/>
        <v>0</v>
      </c>
      <c r="I87" s="12">
        <f>175.8489656*D87*E87</f>
        <v>65.064117272</v>
      </c>
      <c r="J87" s="15">
        <f t="shared" si="9"/>
        <v>133.408778272</v>
      </c>
      <c r="K87">
        <v>217424.68999999997</v>
      </c>
      <c r="L87" s="33">
        <f t="shared" si="10"/>
        <v>5.1132179097660596E-05</v>
      </c>
      <c r="M87" s="33"/>
    </row>
    <row r="88" spans="1:13" ht="24">
      <c r="A88" s="7">
        <v>83</v>
      </c>
      <c r="B88" s="5" t="s">
        <v>152</v>
      </c>
      <c r="C88" s="5" t="s">
        <v>22</v>
      </c>
      <c r="D88" s="9">
        <v>2.625</v>
      </c>
      <c r="E88" s="9">
        <v>4</v>
      </c>
      <c r="F88" s="12">
        <f>7568.37675*D88*E88</f>
        <v>79467.955875</v>
      </c>
      <c r="G88" s="12">
        <f>7958.11274082*D88*E88</f>
        <v>83560.18377861</v>
      </c>
      <c r="H88" s="12">
        <f t="shared" si="8"/>
        <v>0</v>
      </c>
      <c r="I88" s="12">
        <f>7205.094666*D88*E88</f>
        <v>75653.493993</v>
      </c>
      <c r="J88" s="15">
        <f t="shared" si="9"/>
        <v>238681.63364661002</v>
      </c>
      <c r="K88">
        <v>217424.68999999997</v>
      </c>
      <c r="L88" s="33">
        <f t="shared" si="10"/>
        <v>0.09148057719303866</v>
      </c>
      <c r="M88" s="33"/>
    </row>
    <row r="89" spans="1:13" ht="24">
      <c r="A89" s="7">
        <v>84</v>
      </c>
      <c r="B89" s="5" t="s">
        <v>153</v>
      </c>
      <c r="C89" s="5" t="s">
        <v>22</v>
      </c>
      <c r="D89" s="9">
        <v>1.125</v>
      </c>
      <c r="E89" s="9">
        <v>4</v>
      </c>
      <c r="F89" s="12">
        <f>9623.98525*D89*E89</f>
        <v>43307.933625</v>
      </c>
      <c r="G89" s="12">
        <f>15460.92620721*D89*E89</f>
        <v>69574.167932445</v>
      </c>
      <c r="H89" s="12">
        <f t="shared" si="8"/>
        <v>0</v>
      </c>
      <c r="I89" s="12">
        <f>9162.033958*D89*E89</f>
        <v>41229.152811</v>
      </c>
      <c r="J89" s="15">
        <f t="shared" si="9"/>
        <v>154111.254368445</v>
      </c>
      <c r="K89">
        <v>217424.68999999997</v>
      </c>
      <c r="L89" s="33">
        <f t="shared" si="10"/>
        <v>0.05906690969964704</v>
      </c>
      <c r="M89" s="33"/>
    </row>
    <row r="90" spans="1:13" ht="24">
      <c r="A90" s="7">
        <v>85</v>
      </c>
      <c r="B90" s="5" t="s">
        <v>154</v>
      </c>
      <c r="C90" s="5" t="s">
        <v>22</v>
      </c>
      <c r="D90" s="9">
        <v>0.1</v>
      </c>
      <c r="E90" s="9">
        <v>1</v>
      </c>
      <c r="F90" s="12">
        <f>12427.08775*D90*E90</f>
        <v>1242.708775</v>
      </c>
      <c r="G90" s="12">
        <f>34166.03080077*D90*E90</f>
        <v>3416.6030800770004</v>
      </c>
      <c r="H90" s="12">
        <f t="shared" si="8"/>
        <v>0</v>
      </c>
      <c r="I90" s="12">
        <f>11830.587538*D90*E90</f>
        <v>1183.0587538</v>
      </c>
      <c r="J90" s="15">
        <f t="shared" si="9"/>
        <v>5842.370608877</v>
      </c>
      <c r="K90">
        <v>217424.68999999997</v>
      </c>
      <c r="L90" s="33">
        <f t="shared" si="10"/>
        <v>0.0022392315123292428</v>
      </c>
      <c r="M90" s="33"/>
    </row>
    <row r="91" spans="1:13" ht="12">
      <c r="A91" s="7">
        <v>86</v>
      </c>
      <c r="B91" s="5" t="s">
        <v>155</v>
      </c>
      <c r="C91" s="5" t="s">
        <v>22</v>
      </c>
      <c r="D91" s="9">
        <v>0.3</v>
      </c>
      <c r="E91" s="9">
        <v>1</v>
      </c>
      <c r="F91" s="12">
        <f>28778.519*D91*E91</f>
        <v>8633.555699999999</v>
      </c>
      <c r="G91" s="12">
        <f>109881.674991*D91*E91</f>
        <v>32964.5024973</v>
      </c>
      <c r="H91" s="12">
        <f t="shared" si="8"/>
        <v>0</v>
      </c>
      <c r="I91" s="12">
        <f>27397.150088*D91*E91</f>
        <v>8219.1450264</v>
      </c>
      <c r="J91" s="15">
        <f t="shared" si="9"/>
        <v>49817.2032237</v>
      </c>
      <c r="K91">
        <v>217424.68999999997</v>
      </c>
      <c r="L91" s="33">
        <f t="shared" si="10"/>
        <v>0.01909366227899417</v>
      </c>
      <c r="M91" s="33"/>
    </row>
    <row r="92" spans="1:13" ht="48">
      <c r="A92" s="7">
        <v>87</v>
      </c>
      <c r="B92" s="5" t="s">
        <v>156</v>
      </c>
      <c r="C92" s="5" t="s">
        <v>133</v>
      </c>
      <c r="D92" s="9">
        <v>2.4</v>
      </c>
      <c r="E92" s="9">
        <v>1</v>
      </c>
      <c r="F92" s="12">
        <f>5898.5168*D92*E92</f>
        <v>14156.44032</v>
      </c>
      <c r="G92" s="12">
        <f>15049.953864*D92*E92</f>
        <v>36119.8892736</v>
      </c>
      <c r="H92" s="12">
        <f t="shared" si="8"/>
        <v>0</v>
      </c>
      <c r="I92" s="12">
        <f>5615.3879936*D92*E92</f>
        <v>13476.93118464</v>
      </c>
      <c r="J92" s="15">
        <f t="shared" si="9"/>
        <v>63753.26077824</v>
      </c>
      <c r="K92">
        <v>217424.68999999997</v>
      </c>
      <c r="L92" s="33">
        <f t="shared" si="10"/>
        <v>0.024434997384703644</v>
      </c>
      <c r="M92" s="33">
        <f>L92+L93+L94+L95+L96+L97+L98+L99+L100+L125</f>
        <v>0.23528016513898908</v>
      </c>
    </row>
    <row r="93" spans="1:13" ht="48">
      <c r="A93" s="7">
        <v>88</v>
      </c>
      <c r="B93" s="5" t="s">
        <v>157</v>
      </c>
      <c r="C93" s="5" t="s">
        <v>133</v>
      </c>
      <c r="D93" s="9">
        <v>4.5</v>
      </c>
      <c r="E93" s="9">
        <v>1</v>
      </c>
      <c r="F93" s="12">
        <f>6252.0238*D93*E93</f>
        <v>28134.1071</v>
      </c>
      <c r="G93" s="12">
        <f>8787.0749472*D93*E93</f>
        <v>39541.837262400004</v>
      </c>
      <c r="H93" s="12">
        <f t="shared" si="8"/>
        <v>0</v>
      </c>
      <c r="I93" s="12">
        <f>5951.9266576*D93*E93</f>
        <v>26783.6699592</v>
      </c>
      <c r="J93" s="15">
        <f aca="true" t="shared" si="11" ref="J93:J112">SUM(F93:I93)</f>
        <v>94459.6143216</v>
      </c>
      <c r="K93">
        <v>217424.68999999997</v>
      </c>
      <c r="L93" s="33">
        <f t="shared" si="10"/>
        <v>0.03620395883650565</v>
      </c>
      <c r="M93" s="33"/>
    </row>
    <row r="94" spans="1:13" ht="48">
      <c r="A94" s="7">
        <v>89</v>
      </c>
      <c r="B94" s="5" t="s">
        <v>158</v>
      </c>
      <c r="C94" s="5" t="s">
        <v>133</v>
      </c>
      <c r="D94" s="9">
        <v>2.4</v>
      </c>
      <c r="E94" s="9">
        <v>1</v>
      </c>
      <c r="F94" s="12">
        <f>5898.5168*D94*E94</f>
        <v>14156.44032</v>
      </c>
      <c r="G94" s="12">
        <f>15049.953864*D94*E94</f>
        <v>36119.8892736</v>
      </c>
      <c r="H94" s="12">
        <f t="shared" si="8"/>
        <v>0</v>
      </c>
      <c r="I94" s="12">
        <f>5615.3879936*D94*E94</f>
        <v>13476.93118464</v>
      </c>
      <c r="J94" s="15">
        <f t="shared" si="11"/>
        <v>63753.26077824</v>
      </c>
      <c r="K94">
        <v>217424.68999999997</v>
      </c>
      <c r="L94" s="33">
        <f t="shared" si="10"/>
        <v>0.024434997384703644</v>
      </c>
      <c r="M94" s="33"/>
    </row>
    <row r="95" spans="1:13" ht="48">
      <c r="A95" s="7">
        <v>90</v>
      </c>
      <c r="B95" s="5" t="s">
        <v>159</v>
      </c>
      <c r="C95" s="5" t="s">
        <v>133</v>
      </c>
      <c r="D95" s="9">
        <v>4.5</v>
      </c>
      <c r="E95" s="9">
        <v>1</v>
      </c>
      <c r="F95" s="12">
        <f>6252.0238*D95*E95</f>
        <v>28134.1071</v>
      </c>
      <c r="G95" s="12">
        <f>8787.0749472*D95*E95</f>
        <v>39541.837262400004</v>
      </c>
      <c r="H95" s="12">
        <f t="shared" si="8"/>
        <v>0</v>
      </c>
      <c r="I95" s="12">
        <f>5951.9266576*D95*E95</f>
        <v>26783.6699592</v>
      </c>
      <c r="J95" s="15">
        <f t="shared" si="11"/>
        <v>94459.6143216</v>
      </c>
      <c r="K95">
        <v>217424.68999999997</v>
      </c>
      <c r="L95" s="33">
        <f t="shared" si="10"/>
        <v>0.03620395883650565</v>
      </c>
      <c r="M95" s="33"/>
    </row>
    <row r="96" spans="1:13" ht="24">
      <c r="A96" s="7">
        <v>91</v>
      </c>
      <c r="B96" s="5" t="s">
        <v>160</v>
      </c>
      <c r="C96" s="5" t="s">
        <v>161</v>
      </c>
      <c r="D96" s="9">
        <v>30</v>
      </c>
      <c r="E96" s="9">
        <v>1</v>
      </c>
      <c r="F96" s="12">
        <f>887.0224*D96*E96</f>
        <v>26610.672</v>
      </c>
      <c r="G96" s="12">
        <f>423.1478295*D96*E96</f>
        <v>12694.434885</v>
      </c>
      <c r="H96" s="12">
        <f t="shared" si="8"/>
        <v>0</v>
      </c>
      <c r="I96" s="12">
        <f>844.4453248*D96*E96</f>
        <v>25333.359744</v>
      </c>
      <c r="J96" s="15">
        <f t="shared" si="11"/>
        <v>64638.466629</v>
      </c>
      <c r="K96">
        <v>217424.68999999997</v>
      </c>
      <c r="L96" s="33">
        <f t="shared" si="10"/>
        <v>0.024774274190065542</v>
      </c>
      <c r="M96" s="33"/>
    </row>
    <row r="97" spans="1:13" ht="24">
      <c r="A97" s="7">
        <v>92</v>
      </c>
      <c r="B97" s="5" t="s">
        <v>162</v>
      </c>
      <c r="C97" s="5" t="s">
        <v>163</v>
      </c>
      <c r="D97" s="9">
        <v>0.6</v>
      </c>
      <c r="E97" s="9">
        <v>1</v>
      </c>
      <c r="F97" s="12">
        <f>2722.544*D97*E97</f>
        <v>1633.5264</v>
      </c>
      <c r="G97" s="12">
        <f>132237.0126*D97*E97</f>
        <v>79342.20756</v>
      </c>
      <c r="H97" s="12">
        <f t="shared" si="8"/>
        <v>0</v>
      </c>
      <c r="I97" s="12">
        <f>2591.861888*D97*E97</f>
        <v>1555.1171327999998</v>
      </c>
      <c r="J97" s="15">
        <f t="shared" si="11"/>
        <v>82530.8510928</v>
      </c>
      <c r="K97">
        <v>217424.68999999997</v>
      </c>
      <c r="L97" s="33">
        <f t="shared" si="10"/>
        <v>0.03163196840432428</v>
      </c>
      <c r="M97" s="33"/>
    </row>
    <row r="98" spans="1:13" ht="36">
      <c r="A98" s="7">
        <v>93</v>
      </c>
      <c r="B98" s="5" t="s">
        <v>164</v>
      </c>
      <c r="C98" s="5" t="s">
        <v>165</v>
      </c>
      <c r="D98" s="9">
        <v>0.6</v>
      </c>
      <c r="E98" s="9">
        <v>1</v>
      </c>
      <c r="F98" s="12">
        <f>4654.672*D98*E98</f>
        <v>2792.8032</v>
      </c>
      <c r="G98" s="12">
        <f>2185.00850007*D98*E98</f>
        <v>1311.005100042</v>
      </c>
      <c r="H98" s="12">
        <f t="shared" si="8"/>
        <v>0</v>
      </c>
      <c r="I98" s="12">
        <f>4431.247744*D98*E98</f>
        <v>2658.7486464</v>
      </c>
      <c r="J98" s="15">
        <f t="shared" si="11"/>
        <v>6762.5569464420005</v>
      </c>
      <c r="K98">
        <v>217424.68999999997</v>
      </c>
      <c r="L98" s="33">
        <f t="shared" si="10"/>
        <v>0.002591915445313502</v>
      </c>
      <c r="M98" s="33"/>
    </row>
    <row r="99" spans="1:13" ht="36">
      <c r="A99" s="7">
        <v>94</v>
      </c>
      <c r="B99" s="5" t="s">
        <v>166</v>
      </c>
      <c r="C99" s="5" t="s">
        <v>167</v>
      </c>
      <c r="D99" s="9">
        <v>450</v>
      </c>
      <c r="E99" s="9">
        <v>1</v>
      </c>
      <c r="F99" s="12">
        <f>28.98192*D99*E99</f>
        <v>13041.864</v>
      </c>
      <c r="G99" s="12">
        <f>0*D99*E99</f>
        <v>0</v>
      </c>
      <c r="H99" s="12">
        <f t="shared" si="8"/>
        <v>0</v>
      </c>
      <c r="I99" s="12">
        <f>27.59078784*D99*E99</f>
        <v>12415.854528</v>
      </c>
      <c r="J99" s="15">
        <f t="shared" si="11"/>
        <v>25457.718527999998</v>
      </c>
      <c r="K99">
        <v>217424.68999999997</v>
      </c>
      <c r="L99" s="33">
        <f t="shared" si="10"/>
        <v>0.009757293635787178</v>
      </c>
      <c r="M99" s="33"/>
    </row>
    <row r="100" spans="1:13" ht="36">
      <c r="A100" s="7">
        <v>95</v>
      </c>
      <c r="B100" s="5" t="s">
        <v>168</v>
      </c>
      <c r="C100" s="5" t="s">
        <v>167</v>
      </c>
      <c r="D100" s="9">
        <v>450</v>
      </c>
      <c r="E100" s="9">
        <v>1</v>
      </c>
      <c r="F100" s="12">
        <f>45.66848*D100*E100</f>
        <v>20550.816000000003</v>
      </c>
      <c r="G100" s="12">
        <f>0*D100*E100</f>
        <v>0</v>
      </c>
      <c r="H100" s="12">
        <f t="shared" si="8"/>
        <v>0</v>
      </c>
      <c r="I100" s="12">
        <f>43.47639296*D100*E100</f>
        <v>19564.376831999998</v>
      </c>
      <c r="J100" s="15">
        <f t="shared" si="11"/>
        <v>40115.192832</v>
      </c>
      <c r="K100">
        <v>217424.68999999997</v>
      </c>
      <c r="L100" s="33">
        <f t="shared" si="10"/>
        <v>0.015375129365482828</v>
      </c>
      <c r="M100" s="33"/>
    </row>
    <row r="101" spans="1:13" ht="24">
      <c r="A101" s="7">
        <v>96</v>
      </c>
      <c r="B101" s="5" t="s">
        <v>169</v>
      </c>
      <c r="C101" s="5" t="s">
        <v>170</v>
      </c>
      <c r="D101" s="9">
        <v>30</v>
      </c>
      <c r="E101" s="9">
        <v>1</v>
      </c>
      <c r="F101" s="12">
        <f>38.64256*D101*E101</f>
        <v>1159.2768</v>
      </c>
      <c r="G101" s="12">
        <f>173.745*D101*E101</f>
        <v>5212.35</v>
      </c>
      <c r="H101" s="12">
        <f t="shared" si="8"/>
        <v>0</v>
      </c>
      <c r="I101" s="12">
        <f>36.78771712*D101*E101</f>
        <v>1103.6315136</v>
      </c>
      <c r="J101" s="15">
        <f t="shared" si="11"/>
        <v>7475.2583136</v>
      </c>
      <c r="K101">
        <v>217424.68999999997</v>
      </c>
      <c r="L101" s="33">
        <f t="shared" si="10"/>
        <v>0.0028650756857466378</v>
      </c>
      <c r="M101" s="33">
        <f>L101+L102+L103+L104+L105+L106+L107+L108+L109+L110+L111+L112+L129+L147+L146+L145+L144</f>
        <v>0.35225597787728735</v>
      </c>
    </row>
    <row r="102" spans="1:13" ht="12">
      <c r="A102" s="7">
        <v>97</v>
      </c>
      <c r="B102" s="5" t="s">
        <v>171</v>
      </c>
      <c r="C102" s="5" t="s">
        <v>172</v>
      </c>
      <c r="D102" s="9">
        <v>30</v>
      </c>
      <c r="E102" s="9">
        <v>1</v>
      </c>
      <c r="F102" s="12">
        <f>104.99247*D102*E102</f>
        <v>3149.7741</v>
      </c>
      <c r="G102" s="12">
        <f>1271.0709*D102*E102</f>
        <v>38132.127</v>
      </c>
      <c r="H102" s="12">
        <f t="shared" si="8"/>
        <v>0</v>
      </c>
      <c r="I102" s="12">
        <f>99.95283144*D102*E102</f>
        <v>2998.5849432</v>
      </c>
      <c r="J102" s="15">
        <f t="shared" si="11"/>
        <v>44280.486043200006</v>
      </c>
      <c r="K102">
        <v>217424.68999999997</v>
      </c>
      <c r="L102" s="33">
        <f t="shared" si="10"/>
        <v>0.016971579923144887</v>
      </c>
      <c r="M102" s="33"/>
    </row>
    <row r="103" spans="1:13" ht="12">
      <c r="A103" s="7">
        <v>98</v>
      </c>
      <c r="B103" s="5" t="s">
        <v>173</v>
      </c>
      <c r="C103" s="5" t="s">
        <v>174</v>
      </c>
      <c r="D103" s="9">
        <v>30</v>
      </c>
      <c r="E103" s="9">
        <v>1</v>
      </c>
      <c r="F103" s="12">
        <f>21.956*D103*E103</f>
        <v>658.68</v>
      </c>
      <c r="G103" s="12">
        <f>3829.0032*D103*E103</f>
        <v>114870.096</v>
      </c>
      <c r="H103" s="12">
        <f t="shared" si="8"/>
        <v>0</v>
      </c>
      <c r="I103" s="12">
        <f>20.902112*D103*E103</f>
        <v>627.06336</v>
      </c>
      <c r="J103" s="15">
        <f t="shared" si="11"/>
        <v>116155.83936</v>
      </c>
      <c r="K103">
        <v>217424.68999999997</v>
      </c>
      <c r="L103" s="33">
        <f t="shared" si="10"/>
        <v>0.04451956803985785</v>
      </c>
      <c r="M103" s="33"/>
    </row>
    <row r="104" spans="1:13" ht="12">
      <c r="A104" s="7">
        <v>99</v>
      </c>
      <c r="B104" s="5" t="s">
        <v>175</v>
      </c>
      <c r="C104" s="5" t="s">
        <v>176</v>
      </c>
      <c r="D104" s="9">
        <v>97</v>
      </c>
      <c r="E104" s="9">
        <v>1</v>
      </c>
      <c r="F104" s="12">
        <f>7.02592*D104*E104</f>
        <v>681.51424</v>
      </c>
      <c r="G104" s="12">
        <f>655.578*D104*E104</f>
        <v>63591.066</v>
      </c>
      <c r="H104" s="12">
        <f t="shared" si="8"/>
        <v>0</v>
      </c>
      <c r="I104" s="12">
        <f>6.68867584*D104*E104</f>
        <v>648.80155648</v>
      </c>
      <c r="J104" s="15">
        <f t="shared" si="11"/>
        <v>64921.38179648</v>
      </c>
      <c r="K104">
        <v>217424.68999999997</v>
      </c>
      <c r="L104" s="33">
        <f t="shared" si="10"/>
        <v>0.02488270835159828</v>
      </c>
      <c r="M104" s="33"/>
    </row>
    <row r="105" spans="1:13" ht="24">
      <c r="A105" s="7">
        <v>100</v>
      </c>
      <c r="B105" s="5" t="s">
        <v>177</v>
      </c>
      <c r="C105" s="5" t="s">
        <v>178</v>
      </c>
      <c r="D105" s="9">
        <v>0.18</v>
      </c>
      <c r="E105" s="9">
        <v>1</v>
      </c>
      <c r="F105" s="12">
        <f>17564.8*D105*E105</f>
        <v>3161.6639999999998</v>
      </c>
      <c r="G105" s="12">
        <f>27574.0982253*D105*E105</f>
        <v>4963.337680554</v>
      </c>
      <c r="H105" s="12">
        <f t="shared" si="8"/>
        <v>0</v>
      </c>
      <c r="I105" s="12">
        <f>16721.6896*D105*E105</f>
        <v>3009.904128</v>
      </c>
      <c r="J105" s="15">
        <f t="shared" si="11"/>
        <v>11134.905808554</v>
      </c>
      <c r="K105">
        <v>217424.68999999997</v>
      </c>
      <c r="L105" s="33">
        <f t="shared" si="10"/>
        <v>0.004267725148323772</v>
      </c>
      <c r="M105" s="33"/>
    </row>
    <row r="106" spans="1:13" ht="12">
      <c r="A106" s="7">
        <v>101</v>
      </c>
      <c r="B106" s="5" t="s">
        <v>179</v>
      </c>
      <c r="C106" s="5" t="s">
        <v>180</v>
      </c>
      <c r="D106" s="9">
        <v>97</v>
      </c>
      <c r="E106" s="9">
        <v>1</v>
      </c>
      <c r="F106" s="12">
        <f>119.849895*D106*E106</f>
        <v>11625.439815</v>
      </c>
      <c r="G106" s="12">
        <f>16.082616924*D106*E106</f>
        <v>1560.013841628</v>
      </c>
      <c r="H106" s="12">
        <f t="shared" si="8"/>
        <v>0</v>
      </c>
      <c r="I106" s="12">
        <f>114.09710004*D106*E106</f>
        <v>11067.418703880001</v>
      </c>
      <c r="J106" s="15">
        <f t="shared" si="11"/>
        <v>24252.872360508</v>
      </c>
      <c r="K106">
        <v>217424.68999999997</v>
      </c>
      <c r="L106" s="33">
        <f t="shared" si="10"/>
        <v>0.009295506856691392</v>
      </c>
      <c r="M106" s="33"/>
    </row>
    <row r="107" spans="1:13" ht="24">
      <c r="A107" s="7">
        <v>102</v>
      </c>
      <c r="B107" s="5" t="s">
        <v>181</v>
      </c>
      <c r="C107" s="5" t="s">
        <v>182</v>
      </c>
      <c r="D107" s="9">
        <v>30</v>
      </c>
      <c r="E107" s="9">
        <v>1</v>
      </c>
      <c r="F107" s="12">
        <f>117.868905*D107*E107</f>
        <v>3536.06715</v>
      </c>
      <c r="G107" s="12">
        <f>533.49504912*D107*E107</f>
        <v>16004.8514736</v>
      </c>
      <c r="H107" s="12">
        <f t="shared" si="8"/>
        <v>0</v>
      </c>
      <c r="I107" s="12">
        <f>112.21119756*D107*E107</f>
        <v>3366.3359268</v>
      </c>
      <c r="J107" s="15">
        <f t="shared" si="11"/>
        <v>22907.254550399997</v>
      </c>
      <c r="K107">
        <v>217424.68999999997</v>
      </c>
      <c r="L107" s="33">
        <f t="shared" si="10"/>
        <v>0.008779765900551588</v>
      </c>
      <c r="M107" s="33"/>
    </row>
    <row r="108" spans="1:13" ht="12">
      <c r="A108" s="7">
        <v>103</v>
      </c>
      <c r="B108" s="5" t="s">
        <v>183</v>
      </c>
      <c r="C108" s="5" t="s">
        <v>184</v>
      </c>
      <c r="D108" s="9">
        <v>360</v>
      </c>
      <c r="E108" s="9">
        <v>1</v>
      </c>
      <c r="F108" s="12">
        <f>16.68656*D108*E108</f>
        <v>6007.1616</v>
      </c>
      <c r="G108" s="12">
        <f>476.982*D108*E108</f>
        <v>171713.52000000002</v>
      </c>
      <c r="H108" s="12">
        <f t="shared" si="8"/>
        <v>0</v>
      </c>
      <c r="I108" s="12">
        <f>15.88560512*D108*E108</f>
        <v>5718.8178431999995</v>
      </c>
      <c r="J108" s="15">
        <f t="shared" si="11"/>
        <v>183439.4994432</v>
      </c>
      <c r="K108">
        <v>217424.68999999997</v>
      </c>
      <c r="L108" s="33">
        <f t="shared" si="10"/>
        <v>0.07030767735531784</v>
      </c>
      <c r="M108" s="33"/>
    </row>
    <row r="109" spans="1:13" ht="36">
      <c r="A109" s="7">
        <v>104</v>
      </c>
      <c r="B109" s="5" t="s">
        <v>185</v>
      </c>
      <c r="C109" s="5" t="s">
        <v>186</v>
      </c>
      <c r="D109" s="9">
        <v>60</v>
      </c>
      <c r="E109" s="9">
        <v>1</v>
      </c>
      <c r="F109" s="12">
        <f>88.2531045*D109*E109</f>
        <v>5295.18627</v>
      </c>
      <c r="G109" s="12">
        <f>278.8732188*D109*E109</f>
        <v>16732.393128</v>
      </c>
      <c r="H109" s="12">
        <f t="shared" si="8"/>
        <v>0</v>
      </c>
      <c r="I109" s="12">
        <f>84.016955484*D109*E109</f>
        <v>5041.01732904</v>
      </c>
      <c r="J109" s="15">
        <f t="shared" si="11"/>
        <v>27068.59672704</v>
      </c>
      <c r="K109">
        <v>217424.68999999997</v>
      </c>
      <c r="L109" s="33">
        <f t="shared" si="10"/>
        <v>0.010374702127527469</v>
      </c>
      <c r="M109" s="33"/>
    </row>
    <row r="110" spans="1:13" ht="36">
      <c r="A110" s="7">
        <v>105</v>
      </c>
      <c r="B110" s="5" t="s">
        <v>187</v>
      </c>
      <c r="C110" s="5" t="s">
        <v>186</v>
      </c>
      <c r="D110" s="9">
        <v>60</v>
      </c>
      <c r="E110" s="9">
        <v>1</v>
      </c>
      <c r="F110" s="12">
        <f>14.05184*D110*E110</f>
        <v>843.1104</v>
      </c>
      <c r="G110" s="12">
        <f>17.6814*D110*E110</f>
        <v>1060.884</v>
      </c>
      <c r="H110" s="12">
        <f t="shared" si="8"/>
        <v>0</v>
      </c>
      <c r="I110" s="12">
        <f>13.37735168*D110*E110</f>
        <v>802.6411008</v>
      </c>
      <c r="J110" s="15">
        <f t="shared" si="11"/>
        <v>2706.6355008</v>
      </c>
      <c r="K110">
        <v>217424.68999999997</v>
      </c>
      <c r="L110" s="33">
        <f t="shared" si="10"/>
        <v>0.001037384293384528</v>
      </c>
      <c r="M110" s="33"/>
    </row>
    <row r="111" spans="1:13" ht="12">
      <c r="A111" s="7">
        <v>106</v>
      </c>
      <c r="B111" s="5" t="s">
        <v>188</v>
      </c>
      <c r="C111" s="5" t="s">
        <v>189</v>
      </c>
      <c r="D111" s="9">
        <v>15</v>
      </c>
      <c r="E111" s="9">
        <v>1</v>
      </c>
      <c r="F111" s="12">
        <f>1220.7536*D111*E111</f>
        <v>18311.304</v>
      </c>
      <c r="G111" s="12">
        <f>940.5*D111*E111</f>
        <v>14107.5</v>
      </c>
      <c r="H111" s="12">
        <f t="shared" si="8"/>
        <v>0</v>
      </c>
      <c r="I111" s="12">
        <f>1162.1574272*D111*E111</f>
        <v>17432.361408</v>
      </c>
      <c r="J111" s="15">
        <f t="shared" si="11"/>
        <v>49851.165408</v>
      </c>
      <c r="K111">
        <v>217424.68999999997</v>
      </c>
      <c r="L111" s="33">
        <f t="shared" si="10"/>
        <v>0.019106679117261247</v>
      </c>
      <c r="M111" s="33"/>
    </row>
    <row r="112" spans="1:13" ht="12">
      <c r="A112" s="7">
        <v>107</v>
      </c>
      <c r="B112" s="5" t="s">
        <v>190</v>
      </c>
      <c r="C112" s="5" t="s">
        <v>22</v>
      </c>
      <c r="D112" s="9">
        <v>0.3</v>
      </c>
      <c r="E112" s="9">
        <v>1</v>
      </c>
      <c r="F112" s="12">
        <f>2250.56645*D112*E112</f>
        <v>675.1699349999999</v>
      </c>
      <c r="G112" s="12">
        <f>2801.7*D112*E112</f>
        <v>840.5099999999999</v>
      </c>
      <c r="H112" s="12">
        <f t="shared" si="8"/>
        <v>0</v>
      </c>
      <c r="I112" s="12">
        <f>2142.5392604*D112*E112</f>
        <v>642.7617781199999</v>
      </c>
      <c r="J112" s="15">
        <f t="shared" si="11"/>
        <v>2158.44171312</v>
      </c>
      <c r="K112">
        <v>217424.68999999997</v>
      </c>
      <c r="L112" s="33">
        <f t="shared" si="10"/>
        <v>0.0008272756086716739</v>
      </c>
      <c r="M112" s="33"/>
    </row>
    <row r="113" spans="1:13" ht="12">
      <c r="A113" s="7"/>
      <c r="B113" s="5"/>
      <c r="C113" s="5"/>
      <c r="D113" s="9"/>
      <c r="E113" s="9"/>
      <c r="F113" s="12"/>
      <c r="G113" s="12"/>
      <c r="H113" s="12"/>
      <c r="I113" s="12"/>
      <c r="J113" s="15"/>
      <c r="L113" s="33"/>
      <c r="M113" s="33"/>
    </row>
    <row r="114" spans="1:13" ht="12">
      <c r="A114" s="7">
        <v>108</v>
      </c>
      <c r="B114" s="5" t="s">
        <v>191</v>
      </c>
      <c r="C114" s="5" t="s">
        <v>192</v>
      </c>
      <c r="D114" s="9">
        <v>3.88</v>
      </c>
      <c r="E114" s="9">
        <v>1</v>
      </c>
      <c r="F114" s="12">
        <f>1933.5525*D114*E114</f>
        <v>7502.1837</v>
      </c>
      <c r="G114" s="12">
        <f>15922.310580731*D114*E114</f>
        <v>61778.56505323628</v>
      </c>
      <c r="H114" s="12">
        <f t="shared" si="8"/>
        <v>0</v>
      </c>
      <c r="I114" s="12">
        <f>1840.74198*D114*E114</f>
        <v>7142.0788824</v>
      </c>
      <c r="J114" s="15">
        <f aca="true" t="shared" si="12" ref="J114:J153">SUM(F114:I114)</f>
        <v>76422.82763563628</v>
      </c>
      <c r="K114">
        <v>217424.68999999997</v>
      </c>
      <c r="L114" s="33">
        <f t="shared" si="10"/>
        <v>0.02929091893674245</v>
      </c>
      <c r="M114" s="33">
        <f>L114+L115+L116+L117+L118+L119+L120+L121+L122+L123+L126+L127+L128+L130+L131+L133+L136+L137+L138+L139+L140+L141+L142+L143+L148+L149+L150+L151+L152+L153</f>
        <v>1.5095762440819291</v>
      </c>
    </row>
    <row r="115" spans="1:13" ht="24">
      <c r="A115" s="7">
        <v>109</v>
      </c>
      <c r="B115" s="5" t="s">
        <v>193</v>
      </c>
      <c r="C115" s="5" t="s">
        <v>194</v>
      </c>
      <c r="D115" s="9">
        <v>260.799</v>
      </c>
      <c r="E115" s="9">
        <v>2</v>
      </c>
      <c r="F115" s="12">
        <f>34.25136*D115*E115</f>
        <v>17865.440873279997</v>
      </c>
      <c r="G115" s="12">
        <f aca="true" t="shared" si="13" ref="G115:G124">0*D115*E115</f>
        <v>0</v>
      </c>
      <c r="H115" s="12">
        <f t="shared" si="8"/>
        <v>0</v>
      </c>
      <c r="I115" s="12">
        <f>32.60729472*D115*E115</f>
        <v>17007.89971136256</v>
      </c>
      <c r="J115" s="15">
        <f t="shared" si="12"/>
        <v>34873.34058464256</v>
      </c>
      <c r="K115">
        <v>217424.68999999997</v>
      </c>
      <c r="L115" s="33">
        <f t="shared" si="10"/>
        <v>0.013366061211295186</v>
      </c>
      <c r="M115" s="33"/>
    </row>
    <row r="116" spans="1:13" ht="24">
      <c r="A116" s="7">
        <v>110</v>
      </c>
      <c r="B116" s="5" t="s">
        <v>195</v>
      </c>
      <c r="C116" s="5" t="s">
        <v>194</v>
      </c>
      <c r="D116" s="9">
        <v>260.799</v>
      </c>
      <c r="E116" s="9">
        <v>2</v>
      </c>
      <c r="F116" s="12">
        <f>273.13264*D116*E116</f>
        <v>142465.43875871997</v>
      </c>
      <c r="G116" s="12">
        <f t="shared" si="13"/>
        <v>0</v>
      </c>
      <c r="H116" s="12">
        <f t="shared" si="8"/>
        <v>0</v>
      </c>
      <c r="I116" s="12">
        <f>260.02227328*D116*E116</f>
        <v>135627.09769830143</v>
      </c>
      <c r="J116" s="15">
        <f t="shared" si="12"/>
        <v>278092.5364570214</v>
      </c>
      <c r="K116">
        <v>217424.68999999997</v>
      </c>
      <c r="L116" s="33">
        <f t="shared" si="10"/>
        <v>0.10658577017212312</v>
      </c>
      <c r="M116" s="33"/>
    </row>
    <row r="117" spans="1:13" ht="12">
      <c r="A117" s="7">
        <v>111</v>
      </c>
      <c r="B117" s="5" t="s">
        <v>196</v>
      </c>
      <c r="C117" s="5" t="s">
        <v>197</v>
      </c>
      <c r="D117" s="9">
        <v>289.107</v>
      </c>
      <c r="E117" s="9">
        <v>2</v>
      </c>
      <c r="F117" s="12">
        <f>135.697815*D117*E117</f>
        <v>78462.37640241001</v>
      </c>
      <c r="G117" s="12">
        <f t="shared" si="13"/>
        <v>0</v>
      </c>
      <c r="H117" s="12">
        <f t="shared" si="8"/>
        <v>0</v>
      </c>
      <c r="I117" s="12">
        <f>129.18431988*D117*E117</f>
        <v>74696.18233509433</v>
      </c>
      <c r="J117" s="15">
        <f t="shared" si="12"/>
        <v>153158.55873750435</v>
      </c>
      <c r="K117">
        <v>217424.68999999997</v>
      </c>
      <c r="L117" s="33">
        <f t="shared" si="10"/>
        <v>0.0587017657843981</v>
      </c>
      <c r="M117" s="33"/>
    </row>
    <row r="118" spans="1:13" ht="12">
      <c r="A118" s="7">
        <v>112</v>
      </c>
      <c r="B118" s="5" t="s">
        <v>198</v>
      </c>
      <c r="C118" s="5" t="s">
        <v>197</v>
      </c>
      <c r="D118" s="9">
        <v>289.107</v>
      </c>
      <c r="E118" s="9">
        <v>2</v>
      </c>
      <c r="F118" s="12">
        <f>110.93544*D118*E118</f>
        <v>64144.42450416001</v>
      </c>
      <c r="G118" s="12">
        <f t="shared" si="13"/>
        <v>0</v>
      </c>
      <c r="H118" s="12">
        <f t="shared" si="8"/>
        <v>0</v>
      </c>
      <c r="I118" s="12">
        <f>105.61053888*D118*E118</f>
        <v>61065.49212796032</v>
      </c>
      <c r="J118" s="15">
        <f t="shared" si="12"/>
        <v>125209.91663212032</v>
      </c>
      <c r="K118">
        <v>217424.68999999997</v>
      </c>
      <c r="L118" s="33">
        <f t="shared" si="10"/>
        <v>0.047989764728851</v>
      </c>
      <c r="M118" s="33"/>
    </row>
    <row r="119" spans="1:13" ht="12">
      <c r="A119" s="7">
        <v>113</v>
      </c>
      <c r="B119" s="5" t="s">
        <v>199</v>
      </c>
      <c r="C119" s="5" t="s">
        <v>194</v>
      </c>
      <c r="D119" s="9">
        <v>260.799</v>
      </c>
      <c r="E119" s="9">
        <v>2</v>
      </c>
      <c r="F119" s="12">
        <f>396.198*D119*E119</f>
        <v>206656.08440399996</v>
      </c>
      <c r="G119" s="12">
        <f t="shared" si="13"/>
        <v>0</v>
      </c>
      <c r="H119" s="12">
        <f t="shared" si="8"/>
        <v>0</v>
      </c>
      <c r="I119" s="12">
        <f>377.180496*D119*E119</f>
        <v>196736.592352608</v>
      </c>
      <c r="J119" s="15">
        <f t="shared" si="12"/>
        <v>403392.67675660795</v>
      </c>
      <c r="K119">
        <v>217424.68999999997</v>
      </c>
      <c r="L119" s="33">
        <f t="shared" si="10"/>
        <v>0.15461011532951477</v>
      </c>
      <c r="M119" s="33"/>
    </row>
    <row r="120" spans="1:13" ht="24">
      <c r="A120" s="7">
        <v>114</v>
      </c>
      <c r="B120" s="5" t="s">
        <v>200</v>
      </c>
      <c r="C120" s="5" t="s">
        <v>194</v>
      </c>
      <c r="D120" s="9">
        <v>260.799</v>
      </c>
      <c r="E120" s="9">
        <v>2</v>
      </c>
      <c r="F120" s="12">
        <f>297.1485*D120*E120</f>
        <v>154992.063303</v>
      </c>
      <c r="G120" s="12">
        <f t="shared" si="13"/>
        <v>0</v>
      </c>
      <c r="H120" s="12">
        <f t="shared" si="8"/>
        <v>0</v>
      </c>
      <c r="I120" s="12">
        <f>282.885372*D120*E120</f>
        <v>147552.444264456</v>
      </c>
      <c r="J120" s="15">
        <f t="shared" si="12"/>
        <v>302544.507567456</v>
      </c>
      <c r="K120">
        <v>217424.68999999997</v>
      </c>
      <c r="L120" s="33">
        <f t="shared" si="10"/>
        <v>0.1159575864971361</v>
      </c>
      <c r="M120" s="33"/>
    </row>
    <row r="121" spans="1:13" ht="24">
      <c r="A121" s="7">
        <v>115</v>
      </c>
      <c r="B121" s="5" t="s">
        <v>201</v>
      </c>
      <c r="C121" s="5" t="s">
        <v>202</v>
      </c>
      <c r="D121" s="9">
        <v>32.123</v>
      </c>
      <c r="E121" s="9">
        <v>2</v>
      </c>
      <c r="F121" s="12">
        <f>277.3386*D121*E121</f>
        <v>17817.895695599997</v>
      </c>
      <c r="G121" s="12">
        <f t="shared" si="13"/>
        <v>0</v>
      </c>
      <c r="H121" s="12">
        <f t="shared" si="8"/>
        <v>0</v>
      </c>
      <c r="I121" s="12">
        <f>264.0263472*D121*E121</f>
        <v>16962.636702211195</v>
      </c>
      <c r="J121" s="15">
        <f t="shared" si="12"/>
        <v>34780.53239781119</v>
      </c>
      <c r="K121">
        <v>217424.68999999997</v>
      </c>
      <c r="L121" s="33">
        <f t="shared" si="10"/>
        <v>0.013330490202458606</v>
      </c>
      <c r="M121" s="33"/>
    </row>
    <row r="122" spans="1:13" ht="12">
      <c r="A122" s="7">
        <v>116</v>
      </c>
      <c r="B122" s="5" t="s">
        <v>203</v>
      </c>
      <c r="C122" s="5" t="s">
        <v>204</v>
      </c>
      <c r="D122" s="9">
        <v>29.1</v>
      </c>
      <c r="E122" s="9">
        <v>2</v>
      </c>
      <c r="F122" s="12">
        <f>443.74176*D122*E122</f>
        <v>25825.770432</v>
      </c>
      <c r="G122" s="12">
        <f t="shared" si="13"/>
        <v>0</v>
      </c>
      <c r="H122" s="12">
        <f t="shared" si="8"/>
        <v>0</v>
      </c>
      <c r="I122" s="12">
        <f>422.44215552*D122*E122</f>
        <v>24586.133451264</v>
      </c>
      <c r="J122" s="15">
        <f t="shared" si="12"/>
        <v>50411.903883264</v>
      </c>
      <c r="K122">
        <v>217424.68999999997</v>
      </c>
      <c r="L122" s="33">
        <f t="shared" si="10"/>
        <v>0.019321595860488525</v>
      </c>
      <c r="M122" s="33"/>
    </row>
    <row r="123" spans="1:13" ht="24">
      <c r="A123" s="7">
        <v>117</v>
      </c>
      <c r="B123" s="5" t="s">
        <v>205</v>
      </c>
      <c r="C123" s="5" t="s">
        <v>206</v>
      </c>
      <c r="D123" s="9">
        <v>37.89</v>
      </c>
      <c r="E123" s="9">
        <v>2</v>
      </c>
      <c r="F123" s="12">
        <f>5942.97*D123*E123</f>
        <v>450358.26660000003</v>
      </c>
      <c r="G123" s="12">
        <f t="shared" si="13"/>
        <v>0</v>
      </c>
      <c r="H123" s="12">
        <f t="shared" si="8"/>
        <v>0</v>
      </c>
      <c r="I123" s="12">
        <f>5657.70744*D123*E123</f>
        <v>428741.0698032</v>
      </c>
      <c r="J123" s="15">
        <f t="shared" si="12"/>
        <v>879099.3364032</v>
      </c>
      <c r="K123">
        <v>217424.68999999997</v>
      </c>
      <c r="L123" s="33">
        <f t="shared" si="10"/>
        <v>0.33693633429395725</v>
      </c>
      <c r="M123" s="33"/>
    </row>
    <row r="124" spans="1:13" ht="12">
      <c r="A124" s="7">
        <v>118</v>
      </c>
      <c r="B124" s="5" t="s">
        <v>207</v>
      </c>
      <c r="C124" s="5" t="s">
        <v>208</v>
      </c>
      <c r="D124" s="9">
        <v>8971.95</v>
      </c>
      <c r="E124" s="9">
        <v>1</v>
      </c>
      <c r="F124" s="12">
        <f>86.173065*D124*E124</f>
        <v>773140.43052675</v>
      </c>
      <c r="G124" s="12">
        <f t="shared" si="13"/>
        <v>0</v>
      </c>
      <c r="H124" s="12">
        <f t="shared" si="8"/>
        <v>0</v>
      </c>
      <c r="I124" s="12">
        <f>82.03675788*D124*E124</f>
        <v>736029.6898614661</v>
      </c>
      <c r="J124" s="15">
        <f t="shared" si="12"/>
        <v>1509170.120388216</v>
      </c>
      <c r="K124">
        <v>217424.68999999997</v>
      </c>
      <c r="L124" s="33">
        <f t="shared" si="10"/>
        <v>0.5784263815623608</v>
      </c>
      <c r="M124" s="33"/>
    </row>
    <row r="125" spans="1:13" ht="24">
      <c r="A125" s="7">
        <v>119</v>
      </c>
      <c r="B125" s="5" t="s">
        <v>209</v>
      </c>
      <c r="C125" s="5" t="s">
        <v>210</v>
      </c>
      <c r="D125" s="9">
        <v>12</v>
      </c>
      <c r="E125" s="9">
        <v>1</v>
      </c>
      <c r="F125" s="12">
        <f>3110.4975*D125*E125</f>
        <v>37325.97</v>
      </c>
      <c r="G125" s="12">
        <f>423.1478295*D125*E125</f>
        <v>5077.773954</v>
      </c>
      <c r="H125" s="12">
        <f t="shared" si="8"/>
        <v>0</v>
      </c>
      <c r="I125" s="12">
        <f>2961.19362*D125*E125</f>
        <v>35534.32344</v>
      </c>
      <c r="J125" s="15">
        <f t="shared" si="12"/>
        <v>77938.06739400001</v>
      </c>
      <c r="K125">
        <v>217424.68999999997</v>
      </c>
      <c r="L125" s="33">
        <f t="shared" si="10"/>
        <v>0.029871671655597173</v>
      </c>
      <c r="M125" s="33"/>
    </row>
    <row r="126" spans="1:13" ht="36">
      <c r="A126" s="7">
        <v>120</v>
      </c>
      <c r="B126" s="5" t="s">
        <v>211</v>
      </c>
      <c r="C126" s="5" t="s">
        <v>212</v>
      </c>
      <c r="D126" s="9">
        <v>8.73</v>
      </c>
      <c r="E126" s="9">
        <v>2</v>
      </c>
      <c r="F126" s="12">
        <f>891.4455*D126*E126</f>
        <v>15564.63843</v>
      </c>
      <c r="G126" s="12">
        <f>0*D126*E126</f>
        <v>0</v>
      </c>
      <c r="H126" s="12">
        <f aca="true" t="shared" si="14" ref="H126:H153">0*D126*E126</f>
        <v>0</v>
      </c>
      <c r="I126" s="12">
        <f>848.656116*D126*E126</f>
        <v>14817.53578536</v>
      </c>
      <c r="J126" s="15">
        <f t="shared" si="12"/>
        <v>30382.17421536</v>
      </c>
      <c r="K126">
        <v>217424.68999999997</v>
      </c>
      <c r="L126" s="33">
        <f t="shared" si="10"/>
        <v>0.011644711790919422</v>
      </c>
      <c r="M126" s="33"/>
    </row>
    <row r="127" spans="1:13" ht="24">
      <c r="A127" s="7">
        <v>121</v>
      </c>
      <c r="B127" s="5" t="s">
        <v>213</v>
      </c>
      <c r="C127" s="5" t="s">
        <v>64</v>
      </c>
      <c r="D127" s="9">
        <v>29.1</v>
      </c>
      <c r="E127" s="9">
        <v>2</v>
      </c>
      <c r="F127" s="12">
        <f>439.12*D127*E127</f>
        <v>25556.784000000003</v>
      </c>
      <c r="G127" s="12">
        <f>297.80982*D127*E127</f>
        <v>17332.531524</v>
      </c>
      <c r="H127" s="12">
        <f t="shared" si="14"/>
        <v>0</v>
      </c>
      <c r="I127" s="12">
        <f>418.04224*D127*E127</f>
        <v>24330.058368</v>
      </c>
      <c r="J127" s="15">
        <f t="shared" si="12"/>
        <v>67219.373892</v>
      </c>
      <c r="K127">
        <v>217424.68999999997</v>
      </c>
      <c r="L127" s="33">
        <f t="shared" si="10"/>
        <v>0.025763470059449095</v>
      </c>
      <c r="M127" s="33"/>
    </row>
    <row r="128" spans="1:13" ht="24">
      <c r="A128" s="7">
        <v>122</v>
      </c>
      <c r="B128" s="5" t="s">
        <v>214</v>
      </c>
      <c r="C128" s="5" t="s">
        <v>64</v>
      </c>
      <c r="D128" s="9">
        <v>29.1</v>
      </c>
      <c r="E128" s="9">
        <v>2</v>
      </c>
      <c r="F128" s="12">
        <f>175.648*D128*E128</f>
        <v>10222.713600000001</v>
      </c>
      <c r="G128" s="12">
        <f aca="true" t="shared" si="15" ref="G128:G149">0*D128*E128</f>
        <v>0</v>
      </c>
      <c r="H128" s="12">
        <f t="shared" si="14"/>
        <v>0</v>
      </c>
      <c r="I128" s="12">
        <f>167.216896*D128*E128</f>
        <v>9732.0233472</v>
      </c>
      <c r="J128" s="15">
        <f t="shared" si="12"/>
        <v>19954.7369472</v>
      </c>
      <c r="K128">
        <v>217424.68999999997</v>
      </c>
      <c r="L128" s="33">
        <f t="shared" si="10"/>
        <v>0.00764814127411197</v>
      </c>
      <c r="M128" s="33"/>
    </row>
    <row r="129" spans="1:13" ht="24">
      <c r="A129" s="7">
        <v>123</v>
      </c>
      <c r="B129" s="34" t="s">
        <v>215</v>
      </c>
      <c r="C129" s="5" t="s">
        <v>216</v>
      </c>
      <c r="D129" s="9">
        <v>97</v>
      </c>
      <c r="E129" s="9">
        <v>2</v>
      </c>
      <c r="F129" s="12">
        <f>25.092539669835*D129*E129</f>
        <v>4867.95269594799</v>
      </c>
      <c r="G129" s="12">
        <f t="shared" si="15"/>
        <v>0</v>
      </c>
      <c r="H129" s="12">
        <f t="shared" si="14"/>
        <v>0</v>
      </c>
      <c r="I129" s="12">
        <f>23.888097765683*D129*E129</f>
        <v>4634.290966542502</v>
      </c>
      <c r="J129" s="15">
        <f t="shared" si="12"/>
        <v>9502.243662490491</v>
      </c>
      <c r="K129">
        <v>217424.68999999997</v>
      </c>
      <c r="L129" s="33">
        <f t="shared" si="10"/>
        <v>0.003641967425782575</v>
      </c>
      <c r="M129" s="33"/>
    </row>
    <row r="130" spans="1:13" ht="24">
      <c r="A130" s="7">
        <v>124</v>
      </c>
      <c r="B130" s="5" t="s">
        <v>217</v>
      </c>
      <c r="C130" s="5" t="s">
        <v>218</v>
      </c>
      <c r="D130" s="9">
        <v>217.425</v>
      </c>
      <c r="E130" s="9">
        <v>2</v>
      </c>
      <c r="F130" s="12">
        <f>990.495*D130*E130</f>
        <v>430716.75075</v>
      </c>
      <c r="G130" s="12">
        <f t="shared" si="15"/>
        <v>0</v>
      </c>
      <c r="H130" s="12">
        <f t="shared" si="14"/>
        <v>0</v>
      </c>
      <c r="I130" s="12">
        <f>942.95124*D130*E130</f>
        <v>410042.34671400004</v>
      </c>
      <c r="J130" s="15">
        <f t="shared" si="12"/>
        <v>840759.0974640001</v>
      </c>
      <c r="K130">
        <v>217424.68999999997</v>
      </c>
      <c r="L130" s="33">
        <f t="shared" si="10"/>
        <v>0.3222414994451643</v>
      </c>
      <c r="M130" s="33"/>
    </row>
    <row r="131" spans="1:13" ht="36">
      <c r="A131" s="7">
        <v>125</v>
      </c>
      <c r="B131" s="5" t="s">
        <v>219</v>
      </c>
      <c r="C131" s="5" t="s">
        <v>220</v>
      </c>
      <c r="D131" s="9">
        <v>60.493</v>
      </c>
      <c r="E131" s="9">
        <v>2</v>
      </c>
      <c r="F131" s="12">
        <f>396.198*D131*E131</f>
        <v>47934.411228</v>
      </c>
      <c r="G131" s="12">
        <f t="shared" si="15"/>
        <v>0</v>
      </c>
      <c r="H131" s="12">
        <f t="shared" si="14"/>
        <v>0</v>
      </c>
      <c r="I131" s="12">
        <f>377.180496*D131*E131</f>
        <v>45633.559489056</v>
      </c>
      <c r="J131" s="15">
        <f t="shared" si="12"/>
        <v>93567.970717056</v>
      </c>
      <c r="K131">
        <v>217424.68999999997</v>
      </c>
      <c r="L131" s="33">
        <f t="shared" si="10"/>
        <v>0.03586221460445914</v>
      </c>
      <c r="M131" s="33"/>
    </row>
    <row r="132" spans="1:13" ht="12">
      <c r="A132" s="7">
        <v>126</v>
      </c>
      <c r="B132" s="34" t="s">
        <v>221</v>
      </c>
      <c r="C132" s="5" t="s">
        <v>222</v>
      </c>
      <c r="D132" s="9">
        <v>30</v>
      </c>
      <c r="E132" s="9">
        <v>2</v>
      </c>
      <c r="F132" s="12">
        <f>351.296*D132*E132</f>
        <v>21077.76</v>
      </c>
      <c r="G132" s="12">
        <f t="shared" si="15"/>
        <v>0</v>
      </c>
      <c r="H132" s="12">
        <f t="shared" si="14"/>
        <v>0</v>
      </c>
      <c r="I132" s="12">
        <f>334.433792*D132*E132</f>
        <v>20066.02752</v>
      </c>
      <c r="J132" s="15">
        <f t="shared" si="12"/>
        <v>41143.78752</v>
      </c>
      <c r="K132">
        <v>217424.68999999997</v>
      </c>
      <c r="L132" s="33">
        <f t="shared" si="10"/>
        <v>0.01576936345177726</v>
      </c>
      <c r="M132" s="33"/>
    </row>
    <row r="133" spans="1:13" ht="24">
      <c r="A133" s="7">
        <v>127</v>
      </c>
      <c r="B133" s="5" t="s">
        <v>223</v>
      </c>
      <c r="C133" s="5" t="s">
        <v>224</v>
      </c>
      <c r="D133" s="9">
        <v>8.73</v>
      </c>
      <c r="E133" s="9">
        <v>1</v>
      </c>
      <c r="F133" s="12">
        <f>10.53888*D133*E133</f>
        <v>92.00442240000001</v>
      </c>
      <c r="G133" s="12">
        <f t="shared" si="15"/>
        <v>0</v>
      </c>
      <c r="H133" s="12">
        <f t="shared" si="14"/>
        <v>0</v>
      </c>
      <c r="I133" s="12">
        <f>10.03301376*D133*E133</f>
        <v>87.5882101248</v>
      </c>
      <c r="J133" s="15">
        <f t="shared" si="12"/>
        <v>179.59263252480002</v>
      </c>
      <c r="K133">
        <v>217424.68999999997</v>
      </c>
      <c r="L133" s="33">
        <f t="shared" si="10"/>
        <v>6.883327146700774E-05</v>
      </c>
      <c r="M133" s="33"/>
    </row>
    <row r="134" spans="1:13" ht="24">
      <c r="A134" s="7">
        <v>128</v>
      </c>
      <c r="B134" s="34" t="s">
        <v>225</v>
      </c>
      <c r="C134" s="5" t="s">
        <v>226</v>
      </c>
      <c r="D134" s="9">
        <v>897.195</v>
      </c>
      <c r="E134" s="9">
        <v>1</v>
      </c>
      <c r="F134" s="12">
        <f>81.2899725*D134*E134</f>
        <v>72932.9568771375</v>
      </c>
      <c r="G134" s="12">
        <f t="shared" si="15"/>
        <v>0</v>
      </c>
      <c r="H134" s="12">
        <f t="shared" si="14"/>
        <v>0</v>
      </c>
      <c r="I134" s="12">
        <f>77.38805382*D134*E134</f>
        <v>69432.1749470349</v>
      </c>
      <c r="J134" s="15">
        <f t="shared" si="12"/>
        <v>142365.1318241724</v>
      </c>
      <c r="K134">
        <v>217424.68999999997</v>
      </c>
      <c r="L134" s="33">
        <f t="shared" si="10"/>
        <v>0.054564920779455635</v>
      </c>
      <c r="M134" s="33"/>
    </row>
    <row r="135" spans="1:13" ht="24">
      <c r="A135" s="7">
        <v>129</v>
      </c>
      <c r="B135" s="34" t="s">
        <v>227</v>
      </c>
      <c r="C135" s="5" t="s">
        <v>228</v>
      </c>
      <c r="D135" s="9">
        <v>13.58</v>
      </c>
      <c r="E135" s="9">
        <v>2</v>
      </c>
      <c r="F135" s="12">
        <f>4918.144*D135*E135</f>
        <v>133576.79104</v>
      </c>
      <c r="G135" s="12">
        <f t="shared" si="15"/>
        <v>0</v>
      </c>
      <c r="H135" s="12">
        <f t="shared" si="14"/>
        <v>0</v>
      </c>
      <c r="I135" s="12">
        <f>4682.073088*D135*E135</f>
        <v>127165.10507008</v>
      </c>
      <c r="J135" s="15">
        <f t="shared" si="12"/>
        <v>260741.89611008</v>
      </c>
      <c r="K135">
        <v>217424.68999999997</v>
      </c>
      <c r="L135" s="33">
        <f aca="true" t="shared" si="16" ref="L135:L198">J135/K135/12</f>
        <v>0.09993571264839642</v>
      </c>
      <c r="M135" s="33"/>
    </row>
    <row r="136" spans="1:13" ht="24">
      <c r="A136" s="7">
        <v>130</v>
      </c>
      <c r="B136" s="5" t="s">
        <v>229</v>
      </c>
      <c r="C136" s="5" t="s">
        <v>230</v>
      </c>
      <c r="D136" s="9">
        <v>45</v>
      </c>
      <c r="E136" s="9">
        <v>12</v>
      </c>
      <c r="F136" s="12">
        <f>12.2*D136*E136</f>
        <v>6588</v>
      </c>
      <c r="G136" s="12">
        <f t="shared" si="15"/>
        <v>0</v>
      </c>
      <c r="H136" s="12">
        <f t="shared" si="14"/>
        <v>0</v>
      </c>
      <c r="I136" s="12">
        <f>11.6144*D136*E136</f>
        <v>6271.776</v>
      </c>
      <c r="J136" s="15">
        <f t="shared" si="12"/>
        <v>12859.776</v>
      </c>
      <c r="K136">
        <v>217424.68999999997</v>
      </c>
      <c r="L136" s="33">
        <f t="shared" si="16"/>
        <v>0.004928823860804401</v>
      </c>
      <c r="M136" s="33"/>
    </row>
    <row r="137" spans="1:13" ht="24">
      <c r="A137" s="7">
        <v>131</v>
      </c>
      <c r="B137" s="5" t="s">
        <v>231</v>
      </c>
      <c r="C137" s="5" t="s">
        <v>230</v>
      </c>
      <c r="D137" s="9">
        <v>45</v>
      </c>
      <c r="E137" s="9">
        <v>12</v>
      </c>
      <c r="F137" s="12">
        <f>12.2*D137*E137</f>
        <v>6588</v>
      </c>
      <c r="G137" s="12">
        <f t="shared" si="15"/>
        <v>0</v>
      </c>
      <c r="H137" s="12">
        <f t="shared" si="14"/>
        <v>0</v>
      </c>
      <c r="I137" s="12">
        <f>11.6144*D137*E137</f>
        <v>6271.776</v>
      </c>
      <c r="J137" s="15">
        <f t="shared" si="12"/>
        <v>12859.776</v>
      </c>
      <c r="K137">
        <v>217424.68999999997</v>
      </c>
      <c r="L137" s="33">
        <f t="shared" si="16"/>
        <v>0.004928823860804401</v>
      </c>
      <c r="M137" s="33"/>
    </row>
    <row r="138" spans="1:13" ht="48">
      <c r="A138" s="7">
        <v>132</v>
      </c>
      <c r="B138" s="5" t="s">
        <v>232</v>
      </c>
      <c r="C138" s="5" t="s">
        <v>230</v>
      </c>
      <c r="D138" s="9">
        <v>45</v>
      </c>
      <c r="E138" s="9">
        <v>12</v>
      </c>
      <c r="F138" s="12">
        <f>36.6*D138*E138</f>
        <v>19764</v>
      </c>
      <c r="G138" s="12">
        <f t="shared" si="15"/>
        <v>0</v>
      </c>
      <c r="H138" s="12">
        <f t="shared" si="14"/>
        <v>0</v>
      </c>
      <c r="I138" s="12">
        <f>34.8432*D138*E138</f>
        <v>18815.328</v>
      </c>
      <c r="J138" s="15">
        <f t="shared" si="12"/>
        <v>38579.328</v>
      </c>
      <c r="K138">
        <v>217424.68999999997</v>
      </c>
      <c r="L138" s="33">
        <f t="shared" si="16"/>
        <v>0.014786471582413205</v>
      </c>
      <c r="M138" s="33"/>
    </row>
    <row r="139" spans="1:13" ht="24">
      <c r="A139" s="7">
        <v>133</v>
      </c>
      <c r="B139" s="5" t="s">
        <v>233</v>
      </c>
      <c r="C139" s="5" t="s">
        <v>234</v>
      </c>
      <c r="D139" s="9">
        <v>45</v>
      </c>
      <c r="E139" s="9">
        <v>12</v>
      </c>
      <c r="F139" s="12">
        <f>64.66*D139*E139</f>
        <v>34916.399999999994</v>
      </c>
      <c r="G139" s="12">
        <f t="shared" si="15"/>
        <v>0</v>
      </c>
      <c r="H139" s="12">
        <f t="shared" si="14"/>
        <v>0</v>
      </c>
      <c r="I139" s="12">
        <f>61.55632*D139*E139</f>
        <v>33240.4128</v>
      </c>
      <c r="J139" s="15">
        <f t="shared" si="12"/>
        <v>68156.81279999999</v>
      </c>
      <c r="K139">
        <v>217424.68999999997</v>
      </c>
      <c r="L139" s="33">
        <f t="shared" si="16"/>
        <v>0.02612276646226332</v>
      </c>
      <c r="M139" s="33"/>
    </row>
    <row r="140" spans="1:13" ht="36">
      <c r="A140" s="7">
        <v>134</v>
      </c>
      <c r="B140" s="5" t="s">
        <v>235</v>
      </c>
      <c r="C140" s="5" t="s">
        <v>230</v>
      </c>
      <c r="D140" s="9">
        <v>65</v>
      </c>
      <c r="E140" s="9">
        <v>12</v>
      </c>
      <c r="F140" s="12">
        <f>19.52*D140*E140</f>
        <v>15225.599999999999</v>
      </c>
      <c r="G140" s="12">
        <f t="shared" si="15"/>
        <v>0</v>
      </c>
      <c r="H140" s="12">
        <f t="shared" si="14"/>
        <v>0</v>
      </c>
      <c r="I140" s="12">
        <f>18.58304*D140*E140</f>
        <v>14494.7712</v>
      </c>
      <c r="J140" s="15">
        <f t="shared" si="12"/>
        <v>29720.371199999998</v>
      </c>
      <c r="K140">
        <v>217424.68999999997</v>
      </c>
      <c r="L140" s="33">
        <f t="shared" si="16"/>
        <v>0.011391059589414616</v>
      </c>
      <c r="M140" s="33"/>
    </row>
    <row r="141" spans="1:13" ht="24">
      <c r="A141" s="7">
        <v>135</v>
      </c>
      <c r="B141" s="5" t="s">
        <v>231</v>
      </c>
      <c r="C141" s="5" t="s">
        <v>230</v>
      </c>
      <c r="D141" s="9">
        <v>65</v>
      </c>
      <c r="E141" s="9">
        <v>12</v>
      </c>
      <c r="F141" s="12">
        <f>12.2*D141*E141</f>
        <v>9516</v>
      </c>
      <c r="G141" s="12">
        <f t="shared" si="15"/>
        <v>0</v>
      </c>
      <c r="H141" s="12">
        <f t="shared" si="14"/>
        <v>0</v>
      </c>
      <c r="I141" s="12">
        <f>11.6144*D141*E141</f>
        <v>9059.232</v>
      </c>
      <c r="J141" s="15">
        <f t="shared" si="12"/>
        <v>18575.232</v>
      </c>
      <c r="K141">
        <v>217424.68999999997</v>
      </c>
      <c r="L141" s="33">
        <f t="shared" si="16"/>
        <v>0.007119412243384135</v>
      </c>
      <c r="M141" s="33"/>
    </row>
    <row r="142" spans="1:13" ht="24">
      <c r="A142" s="7">
        <v>136</v>
      </c>
      <c r="B142" s="5" t="s">
        <v>236</v>
      </c>
      <c r="C142" s="5" t="s">
        <v>230</v>
      </c>
      <c r="D142" s="9">
        <v>65</v>
      </c>
      <c r="E142" s="9">
        <v>12</v>
      </c>
      <c r="F142" s="12">
        <f>36.6*D142*E142</f>
        <v>28548</v>
      </c>
      <c r="G142" s="12">
        <f t="shared" si="15"/>
        <v>0</v>
      </c>
      <c r="H142" s="12">
        <f t="shared" si="14"/>
        <v>0</v>
      </c>
      <c r="I142" s="12">
        <f>34.8432*D142*E142</f>
        <v>27177.696</v>
      </c>
      <c r="J142" s="15">
        <f t="shared" si="12"/>
        <v>55725.695999999996</v>
      </c>
      <c r="K142">
        <v>217424.68999999997</v>
      </c>
      <c r="L142" s="33">
        <f t="shared" si="16"/>
        <v>0.021358236730152403</v>
      </c>
      <c r="M142" s="33"/>
    </row>
    <row r="143" spans="1:13" ht="24">
      <c r="A143" s="7">
        <v>137</v>
      </c>
      <c r="B143" s="5" t="s">
        <v>233</v>
      </c>
      <c r="C143" s="5" t="s">
        <v>234</v>
      </c>
      <c r="D143" s="9">
        <v>65</v>
      </c>
      <c r="E143" s="9">
        <v>12</v>
      </c>
      <c r="F143" s="12">
        <f>104.92*D143*E143</f>
        <v>81837.6</v>
      </c>
      <c r="G143" s="12">
        <f t="shared" si="15"/>
        <v>0</v>
      </c>
      <c r="H143" s="12">
        <f t="shared" si="14"/>
        <v>0</v>
      </c>
      <c r="I143" s="12">
        <f>99.88384*D143*E143</f>
        <v>77909.39520000001</v>
      </c>
      <c r="J143" s="15">
        <f t="shared" si="12"/>
        <v>159746.9952</v>
      </c>
      <c r="K143">
        <v>217424.68999999997</v>
      </c>
      <c r="L143" s="33">
        <f t="shared" si="16"/>
        <v>0.06122694529310357</v>
      </c>
      <c r="M143" s="33"/>
    </row>
    <row r="144" spans="1:13" ht="24">
      <c r="A144" s="7">
        <v>138</v>
      </c>
      <c r="B144" s="5" t="s">
        <v>237</v>
      </c>
      <c r="C144" s="5" t="s">
        <v>238</v>
      </c>
      <c r="D144" s="9">
        <v>120</v>
      </c>
      <c r="E144" s="9">
        <v>12</v>
      </c>
      <c r="F144" s="12">
        <f>12.2*D144*E144</f>
        <v>17568</v>
      </c>
      <c r="G144" s="12">
        <f t="shared" si="15"/>
        <v>0</v>
      </c>
      <c r="H144" s="12">
        <f t="shared" si="14"/>
        <v>0</v>
      </c>
      <c r="I144" s="12">
        <f>11.6144*D144*E144</f>
        <v>16724.736</v>
      </c>
      <c r="J144" s="15">
        <f t="shared" si="12"/>
        <v>34292.736000000004</v>
      </c>
      <c r="K144">
        <v>217424.68999999997</v>
      </c>
      <c r="L144" s="33">
        <f t="shared" si="16"/>
        <v>0.013143530295478406</v>
      </c>
      <c r="M144" s="33"/>
    </row>
    <row r="145" spans="1:13" ht="24">
      <c r="A145" s="7">
        <v>139</v>
      </c>
      <c r="B145" s="5" t="s">
        <v>231</v>
      </c>
      <c r="C145" s="5" t="s">
        <v>238</v>
      </c>
      <c r="D145" s="9">
        <v>120</v>
      </c>
      <c r="E145" s="9">
        <v>12</v>
      </c>
      <c r="F145" s="12">
        <f>12.2*D145*E145</f>
        <v>17568</v>
      </c>
      <c r="G145" s="12">
        <f t="shared" si="15"/>
        <v>0</v>
      </c>
      <c r="H145" s="12">
        <f t="shared" si="14"/>
        <v>0</v>
      </c>
      <c r="I145" s="12">
        <f>11.6144*D145*E145</f>
        <v>16724.736</v>
      </c>
      <c r="J145" s="15">
        <f t="shared" si="12"/>
        <v>34292.736000000004</v>
      </c>
      <c r="K145">
        <v>217424.68999999997</v>
      </c>
      <c r="L145" s="33">
        <f t="shared" si="16"/>
        <v>0.013143530295478406</v>
      </c>
      <c r="M145" s="33"/>
    </row>
    <row r="146" spans="1:13" ht="24">
      <c r="A146" s="7">
        <v>140</v>
      </c>
      <c r="B146" s="5" t="s">
        <v>236</v>
      </c>
      <c r="C146" s="5" t="s">
        <v>238</v>
      </c>
      <c r="D146" s="9">
        <v>120</v>
      </c>
      <c r="E146" s="9">
        <v>12</v>
      </c>
      <c r="F146" s="12">
        <f>36.6*D146*E146</f>
        <v>52704</v>
      </c>
      <c r="G146" s="12">
        <f t="shared" si="15"/>
        <v>0</v>
      </c>
      <c r="H146" s="12">
        <f t="shared" si="14"/>
        <v>0</v>
      </c>
      <c r="I146" s="12">
        <f>34.8432*D146*E146</f>
        <v>50174.208</v>
      </c>
      <c r="J146" s="15">
        <f t="shared" si="12"/>
        <v>102878.208</v>
      </c>
      <c r="K146">
        <v>217424.68999999997</v>
      </c>
      <c r="L146" s="33">
        <f t="shared" si="16"/>
        <v>0.03943059088643521</v>
      </c>
      <c r="M146" s="33"/>
    </row>
    <row r="147" spans="1:13" ht="24">
      <c r="A147" s="7">
        <v>141</v>
      </c>
      <c r="B147" s="5" t="s">
        <v>239</v>
      </c>
      <c r="C147" s="5" t="s">
        <v>234</v>
      </c>
      <c r="D147" s="9">
        <v>120</v>
      </c>
      <c r="E147" s="9">
        <v>12</v>
      </c>
      <c r="F147" s="12">
        <f>64.66*D147*E147</f>
        <v>93110.4</v>
      </c>
      <c r="G147" s="12">
        <f t="shared" si="15"/>
        <v>0</v>
      </c>
      <c r="H147" s="12">
        <f t="shared" si="14"/>
        <v>0</v>
      </c>
      <c r="I147" s="12">
        <f>61.55632*D147*E147</f>
        <v>88641.1008</v>
      </c>
      <c r="J147" s="15">
        <f t="shared" si="12"/>
        <v>181751.50079999998</v>
      </c>
      <c r="K147">
        <v>217424.68999999997</v>
      </c>
      <c r="L147" s="33">
        <f t="shared" si="16"/>
        <v>0.06966071056603552</v>
      </c>
      <c r="M147" s="33"/>
    </row>
    <row r="148" spans="1:13" ht="24">
      <c r="A148" s="7">
        <v>142</v>
      </c>
      <c r="B148" s="5" t="s">
        <v>240</v>
      </c>
      <c r="C148" s="5" t="s">
        <v>84</v>
      </c>
      <c r="D148" s="9">
        <v>30</v>
      </c>
      <c r="E148" s="9">
        <v>1</v>
      </c>
      <c r="F148" s="12">
        <f>363.56*D148*E148</f>
        <v>10906.8</v>
      </c>
      <c r="G148" s="12">
        <f t="shared" si="15"/>
        <v>0</v>
      </c>
      <c r="H148" s="12">
        <f t="shared" si="14"/>
        <v>0</v>
      </c>
      <c r="I148" s="12">
        <f>346.10912*D148*E148</f>
        <v>10383.2736</v>
      </c>
      <c r="J148" s="15">
        <f t="shared" si="12"/>
        <v>21290.0736</v>
      </c>
      <c r="K148">
        <v>217424.68999999997</v>
      </c>
      <c r="L148" s="33">
        <f t="shared" si="16"/>
        <v>0.00815994172510951</v>
      </c>
      <c r="M148" s="33"/>
    </row>
    <row r="149" spans="1:13" ht="36">
      <c r="A149" s="7">
        <v>143</v>
      </c>
      <c r="B149" s="5" t="s">
        <v>241</v>
      </c>
      <c r="C149" s="5" t="s">
        <v>84</v>
      </c>
      <c r="D149" s="9">
        <v>30</v>
      </c>
      <c r="E149" s="9">
        <v>1</v>
      </c>
      <c r="F149" s="12">
        <f>775.92*D149*E149</f>
        <v>23277.6</v>
      </c>
      <c r="G149" s="12">
        <f t="shared" si="15"/>
        <v>0</v>
      </c>
      <c r="H149" s="12">
        <f t="shared" si="14"/>
        <v>0</v>
      </c>
      <c r="I149" s="12">
        <f>738.67584*D149*E149</f>
        <v>22160.2752</v>
      </c>
      <c r="J149" s="15">
        <f t="shared" si="12"/>
        <v>45437.875199999995</v>
      </c>
      <c r="K149">
        <v>217424.68999999997</v>
      </c>
      <c r="L149" s="33">
        <f t="shared" si="16"/>
        <v>0.01741517764150888</v>
      </c>
      <c r="M149" s="33"/>
    </row>
    <row r="150" spans="1:13" ht="24">
      <c r="A150" s="7">
        <v>144</v>
      </c>
      <c r="B150" s="5" t="s">
        <v>242</v>
      </c>
      <c r="C150" s="5" t="s">
        <v>150</v>
      </c>
      <c r="D150" s="9">
        <v>0.175</v>
      </c>
      <c r="E150" s="9">
        <v>1</v>
      </c>
      <c r="F150" s="12">
        <f>3698.97*D150*E150</f>
        <v>647.3197499999999</v>
      </c>
      <c r="G150" s="12">
        <f>829.59594127661*D150*E150</f>
        <v>145.17928972340675</v>
      </c>
      <c r="H150" s="12">
        <f t="shared" si="14"/>
        <v>0</v>
      </c>
      <c r="I150" s="12">
        <f>3521.41944*D150*E150</f>
        <v>616.2484019999999</v>
      </c>
      <c r="J150" s="15">
        <f t="shared" si="12"/>
        <v>1408.7474417234066</v>
      </c>
      <c r="K150">
        <v>217424.68999999997</v>
      </c>
      <c r="L150" s="33">
        <f t="shared" si="16"/>
        <v>0.000539936932386185</v>
      </c>
      <c r="M150" s="33"/>
    </row>
    <row r="151" spans="1:13" ht="24">
      <c r="A151" s="7">
        <v>145</v>
      </c>
      <c r="B151" s="5" t="s">
        <v>243</v>
      </c>
      <c r="C151" s="5" t="s">
        <v>244</v>
      </c>
      <c r="D151" s="9">
        <v>97</v>
      </c>
      <c r="E151" s="9">
        <v>1</v>
      </c>
      <c r="F151" s="12">
        <f>19.6418376*D151*E151</f>
        <v>1905.2582472</v>
      </c>
      <c r="G151" s="12">
        <f>136.0557*D151*E151</f>
        <v>13197.402900000001</v>
      </c>
      <c r="H151" s="12">
        <f t="shared" si="14"/>
        <v>0</v>
      </c>
      <c r="I151" s="12">
        <f>18.6990293952*D151*E151</f>
        <v>1813.8058513344</v>
      </c>
      <c r="J151" s="15">
        <f t="shared" si="12"/>
        <v>16916.4669985344</v>
      </c>
      <c r="K151">
        <v>217424.68999999997</v>
      </c>
      <c r="L151" s="33">
        <f t="shared" si="16"/>
        <v>0.006483649962712147</v>
      </c>
      <c r="M151" s="33"/>
    </row>
    <row r="152" spans="1:13" ht="24">
      <c r="A152" s="7">
        <v>146</v>
      </c>
      <c r="B152" s="5" t="s">
        <v>245</v>
      </c>
      <c r="C152" s="5" t="s">
        <v>246</v>
      </c>
      <c r="D152" s="9">
        <v>2910</v>
      </c>
      <c r="E152" s="9">
        <v>1</v>
      </c>
      <c r="F152" s="12">
        <f>3.60060956563*D152*E152</f>
        <v>10477.7738359833</v>
      </c>
      <c r="G152" s="12">
        <f>0*D152*E152</f>
        <v>0</v>
      </c>
      <c r="H152" s="12">
        <f t="shared" si="14"/>
        <v>0</v>
      </c>
      <c r="I152" s="12">
        <f>3.4277803064798*D152*E152</f>
        <v>9974.840691856218</v>
      </c>
      <c r="J152" s="15">
        <f t="shared" si="12"/>
        <v>20452.61452783952</v>
      </c>
      <c r="K152">
        <v>217424.68999999997</v>
      </c>
      <c r="L152" s="33">
        <f t="shared" si="16"/>
        <v>0.007838965041121257</v>
      </c>
      <c r="M152" s="33"/>
    </row>
    <row r="153" spans="1:13" ht="24">
      <c r="A153" s="7">
        <v>147</v>
      </c>
      <c r="B153" s="5" t="s">
        <v>247</v>
      </c>
      <c r="C153" s="5" t="s">
        <v>150</v>
      </c>
      <c r="D153" s="9">
        <v>5.82</v>
      </c>
      <c r="E153" s="9">
        <v>1</v>
      </c>
      <c r="F153" s="12">
        <f>3698.97*D153*E153</f>
        <v>21528.0054</v>
      </c>
      <c r="G153" s="12">
        <f>829.59594127661*D153*E153</f>
        <v>4828.2483782298705</v>
      </c>
      <c r="H153" s="12">
        <f t="shared" si="14"/>
        <v>0</v>
      </c>
      <c r="I153" s="12">
        <f>3521.41944*D153*E153</f>
        <v>20494.661140800003</v>
      </c>
      <c r="J153" s="15">
        <f t="shared" si="12"/>
        <v>46850.91491902987</v>
      </c>
      <c r="K153">
        <v>217424.68999999997</v>
      </c>
      <c r="L153" s="33">
        <f t="shared" si="16"/>
        <v>0.017956759694214838</v>
      </c>
      <c r="M153" s="33"/>
    </row>
    <row r="154" spans="1:13" ht="13.5" thickBot="1">
      <c r="A154" s="73" t="s">
        <v>110</v>
      </c>
      <c r="B154" s="74"/>
      <c r="C154" s="74"/>
      <c r="D154" s="74"/>
      <c r="E154" s="74"/>
      <c r="F154" s="13">
        <f>SUM(F61:F153)</f>
        <v>3825625.790599218</v>
      </c>
      <c r="G154" s="13">
        <f>SUM(G61:G153)</f>
        <v>3079794.390311283</v>
      </c>
      <c r="H154" s="13">
        <f>SUM(H61:H153)</f>
        <v>0</v>
      </c>
      <c r="I154" s="13">
        <f>SUM(I61:I153)</f>
        <v>3641995.7526504565</v>
      </c>
      <c r="J154" s="16">
        <f>SUM(J61:J153)</f>
        <v>10547415.933560966</v>
      </c>
      <c r="L154" s="33"/>
      <c r="M154" s="33"/>
    </row>
    <row r="155" spans="1:13" ht="16.5" thickBot="1" thickTop="1">
      <c r="A155" s="69" t="s">
        <v>248</v>
      </c>
      <c r="B155" s="70"/>
      <c r="C155" s="70"/>
      <c r="D155" s="70"/>
      <c r="E155" s="70"/>
      <c r="F155" s="71"/>
      <c r="G155" s="71"/>
      <c r="H155" s="71"/>
      <c r="I155" s="71"/>
      <c r="J155" s="72"/>
      <c r="L155" s="33"/>
      <c r="M155" s="33"/>
    </row>
    <row r="156" spans="1:14" ht="48.75" thickTop="1">
      <c r="A156" s="6">
        <v>148</v>
      </c>
      <c r="B156" s="4" t="s">
        <v>772</v>
      </c>
      <c r="C156" s="4" t="s">
        <v>250</v>
      </c>
      <c r="D156" s="8">
        <v>50.459</v>
      </c>
      <c r="E156" s="8">
        <v>247</v>
      </c>
      <c r="F156" s="11">
        <f>90.423*D156*E156</f>
        <v>1126975.576779</v>
      </c>
      <c r="G156" s="11">
        <f>0.6064878699*D156*E156</f>
        <v>7558.884542539174</v>
      </c>
      <c r="H156" s="11">
        <f aca="true" t="shared" si="17" ref="H156:H219">0*D156*E156</f>
        <v>0</v>
      </c>
      <c r="I156" s="11">
        <f>86.082696*D156*E156</f>
        <v>1072880.749093608</v>
      </c>
      <c r="J156" s="14">
        <f aca="true" t="shared" si="18" ref="J156:J187">SUM(F156:I156)</f>
        <v>2207415.2104151472</v>
      </c>
      <c r="K156">
        <v>217424.68999999997</v>
      </c>
      <c r="L156" s="33">
        <f t="shared" si="16"/>
        <v>0.8460459000060924</v>
      </c>
      <c r="M156" s="35">
        <f>L156+L157+L158+L159+L160+L161+L162+L168+L169+L170+L171+L172+L173+L174+L175+L176+L177</f>
        <v>3.2037879783510443</v>
      </c>
      <c r="N156" s="33">
        <f>L156/2</f>
        <v>0.4230229500030462</v>
      </c>
    </row>
    <row r="157" spans="1:14" ht="48">
      <c r="A157" s="7">
        <v>149</v>
      </c>
      <c r="B157" s="5" t="s">
        <v>774</v>
      </c>
      <c r="C157" s="5" t="s">
        <v>252</v>
      </c>
      <c r="D157" s="9">
        <v>403.675</v>
      </c>
      <c r="E157" s="9">
        <v>52</v>
      </c>
      <c r="F157" s="12">
        <f>79.2596664434*D157*E157</f>
        <v>1663747.5842800536</v>
      </c>
      <c r="G157" s="12">
        <f>0.5316122394*D157*E157</f>
        <v>11159.12567846934</v>
      </c>
      <c r="H157" s="12">
        <f t="shared" si="17"/>
        <v>0</v>
      </c>
      <c r="I157" s="12">
        <f>75.455202454117*D157*E157</f>
        <v>1583887.7002346155</v>
      </c>
      <c r="J157" s="15">
        <f t="shared" si="18"/>
        <v>3258794.4101931388</v>
      </c>
      <c r="K157">
        <v>217424.68999999997</v>
      </c>
      <c r="L157" s="33">
        <f t="shared" si="16"/>
        <v>1.249012708029747</v>
      </c>
      <c r="M157" s="33"/>
      <c r="N157" s="33">
        <f>L157/2</f>
        <v>0.6245063540148735</v>
      </c>
    </row>
    <row r="158" spans="1:13" ht="48">
      <c r="A158" s="7">
        <v>150</v>
      </c>
      <c r="B158" s="5" t="s">
        <v>253</v>
      </c>
      <c r="C158" s="5" t="s">
        <v>254</v>
      </c>
      <c r="D158" s="9">
        <v>8.73</v>
      </c>
      <c r="E158" s="9">
        <v>247</v>
      </c>
      <c r="F158" s="12">
        <f>121.6803335566*D158*E158</f>
        <v>262380.52005143213</v>
      </c>
      <c r="G158" s="12">
        <f>0.8161372395*D158*E158</f>
        <v>1759.844890906245</v>
      </c>
      <c r="H158" s="12">
        <f t="shared" si="17"/>
        <v>0</v>
      </c>
      <c r="I158" s="12">
        <f>115.83967754588*D158*E158</f>
        <v>249786.2550889565</v>
      </c>
      <c r="J158" s="15">
        <f t="shared" si="18"/>
        <v>513926.6200312949</v>
      </c>
      <c r="K158">
        <v>217424.68999999997</v>
      </c>
      <c r="L158" s="33">
        <f t="shared" si="16"/>
        <v>0.19697495411372667</v>
      </c>
      <c r="M158" s="33"/>
    </row>
    <row r="159" spans="1:14" ht="36">
      <c r="A159" s="7">
        <v>151</v>
      </c>
      <c r="B159" s="5" t="s">
        <v>255</v>
      </c>
      <c r="C159" s="5" t="s">
        <v>256</v>
      </c>
      <c r="D159" s="9">
        <v>5.82</v>
      </c>
      <c r="E159" s="9">
        <v>247</v>
      </c>
      <c r="F159" s="12">
        <f>66.98*D159*E159</f>
        <v>96286.42920000001</v>
      </c>
      <c r="G159" s="12">
        <f>0.4492505952*D159*E159</f>
        <v>645.815700623808</v>
      </c>
      <c r="H159" s="12">
        <f t="shared" si="17"/>
        <v>0</v>
      </c>
      <c r="I159" s="12">
        <f>63.76496*D159*E159</f>
        <v>91664.68059840001</v>
      </c>
      <c r="J159" s="15">
        <f t="shared" si="18"/>
        <v>188596.9254990238</v>
      </c>
      <c r="K159">
        <v>217424.68999999997</v>
      </c>
      <c r="L159" s="33">
        <f t="shared" si="16"/>
        <v>0.0722843871054938</v>
      </c>
      <c r="M159" s="33"/>
      <c r="N159" s="33">
        <f>L159/2</f>
        <v>0.0361421935527469</v>
      </c>
    </row>
    <row r="160" spans="1:14" ht="36">
      <c r="A160" s="7">
        <v>152</v>
      </c>
      <c r="B160" s="5" t="s">
        <v>773</v>
      </c>
      <c r="C160" s="5" t="s">
        <v>250</v>
      </c>
      <c r="D160" s="9">
        <v>50.459</v>
      </c>
      <c r="E160" s="9">
        <v>52</v>
      </c>
      <c r="F160" s="12">
        <f>119.4476664434*D160*E160</f>
        <v>313414.9096555111</v>
      </c>
      <c r="G160" s="12">
        <f>46.180722357*D160*E160</f>
        <v>121172.11960941688</v>
      </c>
      <c r="H160" s="12">
        <f t="shared" si="17"/>
        <v>0</v>
      </c>
      <c r="I160" s="12">
        <f>113.71417845412*D160*E160</f>
        <v>298370.99399205495</v>
      </c>
      <c r="J160" s="15">
        <f t="shared" si="18"/>
        <v>732958.0232569829</v>
      </c>
      <c r="K160">
        <v>217424.68999999997</v>
      </c>
      <c r="L160" s="33">
        <f t="shared" si="16"/>
        <v>0.28092409961083653</v>
      </c>
      <c r="M160" s="33"/>
      <c r="N160" s="33">
        <f>L160/52*45</f>
        <v>0.24310739389399316</v>
      </c>
    </row>
    <row r="161" spans="1:14" ht="36">
      <c r="A161" s="7">
        <v>153</v>
      </c>
      <c r="B161" s="5" t="s">
        <v>775</v>
      </c>
      <c r="C161" s="5" t="s">
        <v>250</v>
      </c>
      <c r="D161" s="9">
        <v>403.675</v>
      </c>
      <c r="E161" s="9">
        <v>12</v>
      </c>
      <c r="F161" s="12">
        <f>91.5393335566*D161*E161</f>
        <v>443425.685681526</v>
      </c>
      <c r="G161" s="12">
        <f>46.120307904*D161*E161</f>
        <v>223411.38351776643</v>
      </c>
      <c r="H161" s="12">
        <f t="shared" si="17"/>
        <v>0</v>
      </c>
      <c r="I161" s="12">
        <f>87.145445545883*D161*E161</f>
        <v>422141.2527688119</v>
      </c>
      <c r="J161" s="15">
        <f t="shared" si="18"/>
        <v>1088978.3219681042</v>
      </c>
      <c r="K161">
        <v>217424.68999999997</v>
      </c>
      <c r="L161" s="33">
        <f t="shared" si="16"/>
        <v>0.41737759174149924</v>
      </c>
      <c r="M161" s="33"/>
      <c r="N161" s="33">
        <f>L161/12*7</f>
        <v>0.2434702618492079</v>
      </c>
    </row>
    <row r="162" spans="1:14" ht="24">
      <c r="A162" s="7">
        <v>154</v>
      </c>
      <c r="B162" s="5" t="s">
        <v>259</v>
      </c>
      <c r="C162" s="5" t="s">
        <v>256</v>
      </c>
      <c r="D162" s="9">
        <v>5.82</v>
      </c>
      <c r="E162" s="9">
        <v>52</v>
      </c>
      <c r="F162" s="12">
        <f>118.333566*D162*E162</f>
        <v>35812.47041424</v>
      </c>
      <c r="G162" s="12">
        <f>63.396387846*D162*E162</f>
        <v>19186.28281771344</v>
      </c>
      <c r="H162" s="12">
        <f t="shared" si="17"/>
        <v>0</v>
      </c>
      <c r="I162" s="12">
        <f>112.653554832*D162*E162</f>
        <v>34093.47183435648</v>
      </c>
      <c r="J162" s="15">
        <f t="shared" si="18"/>
        <v>89092.22506630991</v>
      </c>
      <c r="K162">
        <v>217424.68999999997</v>
      </c>
      <c r="L162" s="33">
        <f t="shared" si="16"/>
        <v>0.03414677555184354</v>
      </c>
      <c r="M162" s="33"/>
      <c r="N162" s="33">
        <f>L162</f>
        <v>0.03414677555184354</v>
      </c>
    </row>
    <row r="163" spans="1:14" ht="36">
      <c r="A163" s="7">
        <v>155</v>
      </c>
      <c r="B163" s="5" t="s">
        <v>260</v>
      </c>
      <c r="C163" s="5" t="s">
        <v>261</v>
      </c>
      <c r="D163" s="9">
        <v>35.629</v>
      </c>
      <c r="E163" s="9">
        <v>365</v>
      </c>
      <c r="F163" s="12">
        <f>36.15333348*D163*E163</f>
        <v>470159.09827400575</v>
      </c>
      <c r="G163" s="12">
        <f>1.05173343*D163*E163</f>
        <v>13677.356787776549</v>
      </c>
      <c r="H163" s="12">
        <f t="shared" si="17"/>
        <v>0</v>
      </c>
      <c r="I163" s="12">
        <f>34.41797347296*D163*E163</f>
        <v>447591.46155685355</v>
      </c>
      <c r="J163" s="15">
        <f t="shared" si="18"/>
        <v>931427.9166186359</v>
      </c>
      <c r="K163">
        <v>217424.68999999997</v>
      </c>
      <c r="L163" s="33">
        <f t="shared" si="16"/>
        <v>0.3569925432643046</v>
      </c>
      <c r="M163" s="33"/>
      <c r="N163" s="35">
        <f>SUM(N156:N162)</f>
        <v>1.6043959288657113</v>
      </c>
    </row>
    <row r="164" spans="1:13" ht="36">
      <c r="A164" s="7">
        <v>156</v>
      </c>
      <c r="B164" s="5" t="s">
        <v>262</v>
      </c>
      <c r="C164" s="5" t="s">
        <v>263</v>
      </c>
      <c r="D164" s="9">
        <v>11.64</v>
      </c>
      <c r="E164" s="9">
        <v>365</v>
      </c>
      <c r="F164" s="12">
        <f>46.56666652*D164*E164</f>
        <v>197843.13937687202</v>
      </c>
      <c r="G164" s="12">
        <f>1.354666203*D164*E164</f>
        <v>5755.434830065801</v>
      </c>
      <c r="H164" s="12">
        <f t="shared" si="17"/>
        <v>0</v>
      </c>
      <c r="I164" s="12">
        <f>44.33146652704*D164*E164</f>
        <v>188346.66868678216</v>
      </c>
      <c r="J164" s="15">
        <f t="shared" si="18"/>
        <v>391945.24289371993</v>
      </c>
      <c r="K164">
        <v>217424.68999999997</v>
      </c>
      <c r="L164" s="33">
        <f t="shared" si="16"/>
        <v>0.15022260615607483</v>
      </c>
      <c r="M164" s="33"/>
    </row>
    <row r="165" spans="1:13" ht="36">
      <c r="A165" s="7">
        <v>157</v>
      </c>
      <c r="B165" s="5" t="s">
        <v>264</v>
      </c>
      <c r="C165" s="5" t="s">
        <v>263</v>
      </c>
      <c r="D165" s="9">
        <v>11.64</v>
      </c>
      <c r="E165" s="9">
        <v>30</v>
      </c>
      <c r="F165" s="12">
        <f>161.33333348*D165*E165</f>
        <v>56337.600051216</v>
      </c>
      <c r="G165" s="12">
        <f>231.782100165*D165*E165</f>
        <v>80938.30937761802</v>
      </c>
      <c r="H165" s="12">
        <f t="shared" si="17"/>
        <v>0</v>
      </c>
      <c r="I165" s="12">
        <f>153.58933347296*D165*E165</f>
        <v>53633.39524875763</v>
      </c>
      <c r="J165" s="15">
        <f t="shared" si="18"/>
        <v>190909.30467759166</v>
      </c>
      <c r="K165">
        <v>217424.68999999997</v>
      </c>
      <c r="L165" s="33">
        <f t="shared" si="16"/>
        <v>0.07317066301500828</v>
      </c>
      <c r="M165" s="33">
        <f>L165+L166+L167+L163+L164</f>
        <v>0.787311915107536</v>
      </c>
    </row>
    <row r="166" spans="1:13" ht="24">
      <c r="A166" s="7">
        <v>158</v>
      </c>
      <c r="B166" s="5" t="s">
        <v>265</v>
      </c>
      <c r="C166" s="5" t="s">
        <v>266</v>
      </c>
      <c r="D166" s="9">
        <v>29.1</v>
      </c>
      <c r="E166" s="9">
        <v>12</v>
      </c>
      <c r="F166" s="12">
        <f>150.92*D166*E166</f>
        <v>52701.263999999996</v>
      </c>
      <c r="G166" s="12">
        <f>250.371792*D166*E166</f>
        <v>87429.82976640001</v>
      </c>
      <c r="H166" s="12">
        <f t="shared" si="17"/>
        <v>0</v>
      </c>
      <c r="I166" s="12">
        <f>143.67584*D166*E166</f>
        <v>50171.603328</v>
      </c>
      <c r="J166" s="15">
        <f t="shared" si="18"/>
        <v>190302.6970944</v>
      </c>
      <c r="K166">
        <v>217424.68999999997</v>
      </c>
      <c r="L166" s="33">
        <f t="shared" si="16"/>
        <v>0.07293816581364335</v>
      </c>
      <c r="M166" s="33"/>
    </row>
    <row r="167" spans="1:13" ht="24">
      <c r="A167" s="7">
        <v>159</v>
      </c>
      <c r="B167" s="5" t="s">
        <v>267</v>
      </c>
      <c r="C167" s="5" t="s">
        <v>268</v>
      </c>
      <c r="D167" s="9">
        <v>97</v>
      </c>
      <c r="E167" s="9">
        <v>12</v>
      </c>
      <c r="F167" s="12">
        <f>25.5948*D167*E167</f>
        <v>29792.3472</v>
      </c>
      <c r="G167" s="12">
        <f>250.371792*D167*E167</f>
        <v>291432.765888</v>
      </c>
      <c r="H167" s="12">
        <f t="shared" si="17"/>
        <v>0</v>
      </c>
      <c r="I167" s="12">
        <f>24.3662496*D167*E167</f>
        <v>28362.3145344</v>
      </c>
      <c r="J167" s="15">
        <f t="shared" si="18"/>
        <v>349587.42762240005</v>
      </c>
      <c r="K167">
        <v>217424.68999999997</v>
      </c>
      <c r="L167" s="33">
        <f t="shared" si="16"/>
        <v>0.13398793685850494</v>
      </c>
      <c r="M167" s="33"/>
    </row>
    <row r="168" spans="1:13" ht="24">
      <c r="A168" s="7">
        <v>160</v>
      </c>
      <c r="B168" s="5" t="s">
        <v>269</v>
      </c>
      <c r="C168" s="5" t="s">
        <v>270</v>
      </c>
      <c r="D168" s="9">
        <v>15.52</v>
      </c>
      <c r="E168" s="9">
        <v>2</v>
      </c>
      <c r="F168" s="12">
        <f>152.9376664434*D168*E168</f>
        <v>4747.185166403136</v>
      </c>
      <c r="G168" s="12">
        <f>25.6856142906*D168*E168</f>
        <v>797.281467580224</v>
      </c>
      <c r="H168" s="12">
        <f t="shared" si="17"/>
        <v>0</v>
      </c>
      <c r="I168" s="12">
        <f>145.59665845412*D168*E168</f>
        <v>4519.320278415885</v>
      </c>
      <c r="J168" s="15">
        <f t="shared" si="18"/>
        <v>10063.786912399244</v>
      </c>
      <c r="K168">
        <v>217424.68999999997</v>
      </c>
      <c r="L168" s="33">
        <f t="shared" si="16"/>
        <v>0.0038571926185871704</v>
      </c>
      <c r="M168" s="33"/>
    </row>
    <row r="169" spans="1:13" ht="36">
      <c r="A169" s="7">
        <v>161</v>
      </c>
      <c r="B169" s="5" t="s">
        <v>271</v>
      </c>
      <c r="C169" s="5" t="s">
        <v>272</v>
      </c>
      <c r="D169" s="9">
        <v>4.656</v>
      </c>
      <c r="E169" s="9">
        <v>2</v>
      </c>
      <c r="F169" s="12">
        <f>146.2396664434*D169*E169</f>
        <v>1361.7837739209408</v>
      </c>
      <c r="G169" s="12">
        <f>24.762492513*D169*E169</f>
        <v>230.588330281056</v>
      </c>
      <c r="H169" s="12">
        <f t="shared" si="17"/>
        <v>0</v>
      </c>
      <c r="I169" s="12">
        <f>139.22016245412*D169*E169</f>
        <v>1296.4181527727653</v>
      </c>
      <c r="J169" s="15">
        <f t="shared" si="18"/>
        <v>2888.790256974762</v>
      </c>
      <c r="K169">
        <v>217424.68999999997</v>
      </c>
      <c r="L169" s="33">
        <f t="shared" si="16"/>
        <v>0.0011071995614415433</v>
      </c>
      <c r="M169" s="33"/>
    </row>
    <row r="170" spans="1:13" ht="36">
      <c r="A170" s="7">
        <v>162</v>
      </c>
      <c r="B170" s="5" t="s">
        <v>273</v>
      </c>
      <c r="C170" s="5" t="s">
        <v>274</v>
      </c>
      <c r="D170" s="9">
        <v>26.56</v>
      </c>
      <c r="E170" s="9">
        <v>1</v>
      </c>
      <c r="F170" s="12">
        <f>269.04185*D170*E170</f>
        <v>7145.751536</v>
      </c>
      <c r="G170" s="12">
        <f>31.063385232*D170*E170</f>
        <v>825.0435117619201</v>
      </c>
      <c r="H170" s="12">
        <f t="shared" si="17"/>
        <v>0</v>
      </c>
      <c r="I170" s="12">
        <f>256.1278412*D170*E170</f>
        <v>6802.755462271999</v>
      </c>
      <c r="J170" s="15">
        <f t="shared" si="18"/>
        <v>14773.550510033918</v>
      </c>
      <c r="K170">
        <v>217424.68999999997</v>
      </c>
      <c r="L170" s="33">
        <f t="shared" si="16"/>
        <v>0.005662324776314472</v>
      </c>
      <c r="M170" s="33"/>
    </row>
    <row r="171" spans="1:13" ht="36">
      <c r="A171" s="7">
        <v>163</v>
      </c>
      <c r="B171" s="5" t="s">
        <v>275</v>
      </c>
      <c r="C171" s="5" t="s">
        <v>274</v>
      </c>
      <c r="D171" s="9">
        <v>20</v>
      </c>
      <c r="E171" s="9">
        <v>1</v>
      </c>
      <c r="F171" s="12">
        <f>354.70691693437*D171*E171</f>
        <v>7094.1383386873995</v>
      </c>
      <c r="G171" s="12">
        <f>25.050493512*D171*E171</f>
        <v>501.00987024</v>
      </c>
      <c r="H171" s="12">
        <f t="shared" si="17"/>
        <v>0</v>
      </c>
      <c r="I171" s="12">
        <f>337.68098492152*D171*E171</f>
        <v>6753.619698430401</v>
      </c>
      <c r="J171" s="15">
        <f t="shared" si="18"/>
        <v>14348.7679073578</v>
      </c>
      <c r="K171">
        <v>217424.68999999997</v>
      </c>
      <c r="L171" s="33">
        <f t="shared" si="16"/>
        <v>0.005499516448414774</v>
      </c>
      <c r="M171" s="33"/>
    </row>
    <row r="172" spans="1:13" ht="24">
      <c r="A172" s="7">
        <v>164</v>
      </c>
      <c r="B172" s="5" t="s">
        <v>276</v>
      </c>
      <c r="C172" s="5" t="s">
        <v>277</v>
      </c>
      <c r="D172" s="9">
        <v>604.93</v>
      </c>
      <c r="E172" s="9">
        <v>2</v>
      </c>
      <c r="F172" s="12">
        <f>25.6756664434*D172*E172</f>
        <v>31063.96180321192</v>
      </c>
      <c r="G172" s="12">
        <f>0.1837118151*D172*E172</f>
        <v>222.265576616886</v>
      </c>
      <c r="H172" s="12">
        <f t="shared" si="17"/>
        <v>0</v>
      </c>
      <c r="I172" s="12">
        <f>24.443234454117*D172*E172</f>
        <v>29572.89163665799</v>
      </c>
      <c r="J172" s="15">
        <f t="shared" si="18"/>
        <v>60859.1190164868</v>
      </c>
      <c r="K172">
        <v>217424.68999999997</v>
      </c>
      <c r="L172" s="33">
        <f t="shared" si="16"/>
        <v>0.023325746728091925</v>
      </c>
      <c r="M172" s="33"/>
    </row>
    <row r="173" spans="1:13" ht="24">
      <c r="A173" s="7">
        <v>165</v>
      </c>
      <c r="B173" s="5" t="s">
        <v>278</v>
      </c>
      <c r="C173" s="5" t="s">
        <v>279</v>
      </c>
      <c r="D173" s="9">
        <v>240</v>
      </c>
      <c r="E173" s="9">
        <v>2</v>
      </c>
      <c r="F173" s="12">
        <f>31.25309024706*D173*E173</f>
        <v>15001.4833185888</v>
      </c>
      <c r="G173" s="12">
        <f>0.93159*D173*E173</f>
        <v>447.1632</v>
      </c>
      <c r="H173" s="12">
        <f t="shared" si="17"/>
        <v>0</v>
      </c>
      <c r="I173" s="12">
        <f>29.752941915201*D173*E173</f>
        <v>14281.41211929648</v>
      </c>
      <c r="J173" s="15">
        <f t="shared" si="18"/>
        <v>29730.058637885282</v>
      </c>
      <c r="K173">
        <v>217424.68999999997</v>
      </c>
      <c r="L173" s="33">
        <f t="shared" si="16"/>
        <v>0.011394772537058421</v>
      </c>
      <c r="M173" s="33"/>
    </row>
    <row r="174" spans="1:13" ht="24">
      <c r="A174" s="7">
        <v>166</v>
      </c>
      <c r="B174" s="5" t="s">
        <v>280</v>
      </c>
      <c r="C174" s="5" t="s">
        <v>281</v>
      </c>
      <c r="D174" s="9">
        <v>1.8</v>
      </c>
      <c r="E174" s="9">
        <v>1</v>
      </c>
      <c r="F174" s="12">
        <f>71.6686*D174*E174</f>
        <v>129.00348</v>
      </c>
      <c r="G174" s="12">
        <f>27.10323*D174*E174</f>
        <v>48.785814</v>
      </c>
      <c r="H174" s="12">
        <f t="shared" si="17"/>
        <v>0</v>
      </c>
      <c r="I174" s="12">
        <f>68.2285072*D174*E174</f>
        <v>122.81131296</v>
      </c>
      <c r="J174" s="15">
        <f t="shared" si="18"/>
        <v>300.60060696</v>
      </c>
      <c r="K174">
        <v>217424.68999999997</v>
      </c>
      <c r="L174" s="33">
        <f t="shared" si="16"/>
        <v>0.00011521253901753293</v>
      </c>
      <c r="M174" s="33"/>
    </row>
    <row r="175" spans="1:13" ht="36">
      <c r="A175" s="7">
        <v>167</v>
      </c>
      <c r="B175" s="5" t="s">
        <v>282</v>
      </c>
      <c r="C175" s="5" t="s">
        <v>283</v>
      </c>
      <c r="D175" s="9">
        <v>1.8</v>
      </c>
      <c r="E175" s="9">
        <v>1</v>
      </c>
      <c r="F175" s="12">
        <f>90.423*D175*E175</f>
        <v>162.7614</v>
      </c>
      <c r="G175" s="12">
        <f>27.10323*D175*E175</f>
        <v>48.785814</v>
      </c>
      <c r="H175" s="12">
        <f t="shared" si="17"/>
        <v>0</v>
      </c>
      <c r="I175" s="12">
        <f>86.082696*D175*E175</f>
        <v>154.9488528</v>
      </c>
      <c r="J175" s="15">
        <f t="shared" si="18"/>
        <v>366.4960668</v>
      </c>
      <c r="K175">
        <v>217424.68999999997</v>
      </c>
      <c r="L175" s="33">
        <f t="shared" si="16"/>
        <v>0.00014046858661727885</v>
      </c>
      <c r="M175" s="33"/>
    </row>
    <row r="176" spans="1:13" ht="24">
      <c r="A176" s="7">
        <v>168</v>
      </c>
      <c r="B176" s="5" t="s">
        <v>284</v>
      </c>
      <c r="C176" s="5" t="s">
        <v>285</v>
      </c>
      <c r="D176" s="9">
        <v>3.67</v>
      </c>
      <c r="E176" s="9">
        <v>1</v>
      </c>
      <c r="F176" s="12">
        <f>121.9036*D176*E176</f>
        <v>447.386212</v>
      </c>
      <c r="G176" s="12">
        <f>27.10323*D176*E176</f>
        <v>99.4688541</v>
      </c>
      <c r="H176" s="12">
        <f t="shared" si="17"/>
        <v>0</v>
      </c>
      <c r="I176" s="12">
        <f>116.0522272*D176*E176</f>
        <v>425.911673824</v>
      </c>
      <c r="J176" s="15">
        <f t="shared" si="18"/>
        <v>972.766739924</v>
      </c>
      <c r="K176">
        <v>217424.68999999997</v>
      </c>
      <c r="L176" s="33">
        <f t="shared" si="16"/>
        <v>0.0003728366589538046</v>
      </c>
      <c r="M176" s="33"/>
    </row>
    <row r="177" spans="1:13" ht="12">
      <c r="A177" s="7">
        <v>169</v>
      </c>
      <c r="B177" s="5" t="s">
        <v>286</v>
      </c>
      <c r="C177" s="5" t="s">
        <v>287</v>
      </c>
      <c r="D177" s="9">
        <v>1024.836</v>
      </c>
      <c r="E177" s="9">
        <v>1</v>
      </c>
      <c r="F177" s="12">
        <f>70.329*D177*E177</f>
        <v>72075.69104399999</v>
      </c>
      <c r="G177" s="12">
        <f>4.13127*D177*E177</f>
        <v>4233.87422172</v>
      </c>
      <c r="H177" s="12">
        <f t="shared" si="17"/>
        <v>0</v>
      </c>
      <c r="I177" s="12">
        <f>66.953208*D177*E177</f>
        <v>68616.057873888</v>
      </c>
      <c r="J177" s="15">
        <f t="shared" si="18"/>
        <v>144925.623139608</v>
      </c>
      <c r="K177">
        <v>217424.68999999997</v>
      </c>
      <c r="L177" s="33">
        <f t="shared" si="16"/>
        <v>0.05554629173730915</v>
      </c>
      <c r="M177" s="33"/>
    </row>
    <row r="178" spans="1:14" ht="36">
      <c r="A178" s="7">
        <v>170</v>
      </c>
      <c r="B178" s="5" t="s">
        <v>288</v>
      </c>
      <c r="C178" s="5" t="s">
        <v>289</v>
      </c>
      <c r="D178" s="9">
        <v>36.006</v>
      </c>
      <c r="E178" s="9">
        <v>182</v>
      </c>
      <c r="F178" s="12">
        <f>89.0834*D178*E178</f>
        <v>583771.7158728</v>
      </c>
      <c r="G178" s="12">
        <f>2.87892*D178*E178</f>
        <v>18865.82762064</v>
      </c>
      <c r="H178" s="12">
        <f t="shared" si="17"/>
        <v>0</v>
      </c>
      <c r="I178" s="12">
        <f>84.8073968*D178*E178</f>
        <v>555750.6735109056</v>
      </c>
      <c r="J178" s="15">
        <f t="shared" si="18"/>
        <v>1158388.2170043457</v>
      </c>
      <c r="K178">
        <v>217424.68999999997</v>
      </c>
      <c r="L178" s="33">
        <f t="shared" si="16"/>
        <v>0.44398063263665605</v>
      </c>
      <c r="M178" s="33">
        <f>L178+L179+L180+L181+L182+L183+L184+L201+L202+L203+L204+L205+L206+L207+L208+L209+L210+L211+L212+L213+L214+L215+L216+L217+L218</f>
        <v>3.927255792236003</v>
      </c>
      <c r="N178" s="33">
        <f>L178</f>
        <v>0.44398063263665605</v>
      </c>
    </row>
    <row r="179" spans="1:14" ht="24">
      <c r="A179" s="7">
        <v>171</v>
      </c>
      <c r="B179" s="44" t="s">
        <v>778</v>
      </c>
      <c r="C179" s="5" t="s">
        <v>289</v>
      </c>
      <c r="D179" s="9">
        <v>112.061</v>
      </c>
      <c r="E179" s="9">
        <v>91</v>
      </c>
      <c r="F179" s="12">
        <f>145.3466*D179*E179</f>
        <v>1482179.3661765999</v>
      </c>
      <c r="G179" s="12">
        <f>4.56984*D179*E179</f>
        <v>46601.176461840005</v>
      </c>
      <c r="H179" s="12">
        <f t="shared" si="17"/>
        <v>0</v>
      </c>
      <c r="I179" s="12">
        <f>138.3699632*D179*E179</f>
        <v>1411034.7566001234</v>
      </c>
      <c r="J179" s="15">
        <f t="shared" si="18"/>
        <v>2939815.2992385635</v>
      </c>
      <c r="K179">
        <v>217424.68999999997</v>
      </c>
      <c r="L179" s="33">
        <f t="shared" si="16"/>
        <v>1.1267561575913037</v>
      </c>
      <c r="M179" s="33"/>
      <c r="N179" s="33">
        <f>L179/3</f>
        <v>0.3755853858637679</v>
      </c>
    </row>
    <row r="180" spans="1:14" ht="24">
      <c r="A180" s="7">
        <v>172</v>
      </c>
      <c r="B180" s="5" t="s">
        <v>291</v>
      </c>
      <c r="C180" s="5" t="s">
        <v>292</v>
      </c>
      <c r="D180" s="9">
        <v>0.336</v>
      </c>
      <c r="E180" s="9">
        <v>7</v>
      </c>
      <c r="F180" s="12">
        <f>78143.5566*D180*E180</f>
        <v>183793.6451232</v>
      </c>
      <c r="G180" s="12">
        <f>562.89024*D180*E180</f>
        <v>1323.91784448</v>
      </c>
      <c r="H180" s="12">
        <f t="shared" si="17"/>
        <v>0</v>
      </c>
      <c r="I180" s="12">
        <f>74392.6658832*D180*E180</f>
        <v>174971.5501572864</v>
      </c>
      <c r="J180" s="15">
        <f t="shared" si="18"/>
        <v>360089.1131249664</v>
      </c>
      <c r="K180">
        <v>217424.68999999997</v>
      </c>
      <c r="L180" s="33">
        <f t="shared" si="16"/>
        <v>0.13801296482817663</v>
      </c>
      <c r="M180" s="33"/>
      <c r="N180" s="33">
        <f>L180/2</f>
        <v>0.06900648241408831</v>
      </c>
    </row>
    <row r="181" spans="1:14" ht="12">
      <c r="A181" s="7">
        <v>173</v>
      </c>
      <c r="B181" s="5" t="s">
        <v>293</v>
      </c>
      <c r="C181" s="5" t="s">
        <v>294</v>
      </c>
      <c r="D181" s="9">
        <v>0.336</v>
      </c>
      <c r="E181" s="9">
        <v>28</v>
      </c>
      <c r="F181" s="12">
        <f>8595.5434*D181*E181</f>
        <v>80866.87230720001</v>
      </c>
      <c r="G181" s="12">
        <f>60.3504*D181*E181</f>
        <v>567.7765632</v>
      </c>
      <c r="H181" s="12">
        <f t="shared" si="17"/>
        <v>0</v>
      </c>
      <c r="I181" s="12">
        <f>8182.9573168*D181*E181</f>
        <v>76985.2624364544</v>
      </c>
      <c r="J181" s="15">
        <f t="shared" si="18"/>
        <v>158419.9113068544</v>
      </c>
      <c r="K181">
        <v>217424.68999999997</v>
      </c>
      <c r="L181" s="33">
        <f t="shared" si="16"/>
        <v>0.06071830791420791</v>
      </c>
      <c r="M181" s="33"/>
      <c r="N181" s="33">
        <f>L181/28*7</f>
        <v>0.015179576978551976</v>
      </c>
    </row>
    <row r="182" spans="1:14" ht="12">
      <c r="A182" s="7">
        <v>174</v>
      </c>
      <c r="B182" s="5" t="s">
        <v>295</v>
      </c>
      <c r="C182" s="5" t="s">
        <v>296</v>
      </c>
      <c r="D182" s="9">
        <v>0.97</v>
      </c>
      <c r="E182" s="9">
        <v>144</v>
      </c>
      <c r="F182" s="12">
        <f>532.491*D182*E182</f>
        <v>74378.34288</v>
      </c>
      <c r="G182" s="12">
        <f>3.7719*D182*E182</f>
        <v>526.858992</v>
      </c>
      <c r="H182" s="12">
        <f t="shared" si="17"/>
        <v>0</v>
      </c>
      <c r="I182" s="12">
        <f>506.931432*D182*E182</f>
        <v>70808.18242176</v>
      </c>
      <c r="J182" s="15">
        <f t="shared" si="18"/>
        <v>145713.38429376</v>
      </c>
      <c r="K182">
        <v>217424.68999999997</v>
      </c>
      <c r="L182" s="33">
        <f t="shared" si="16"/>
        <v>0.05584822047799632</v>
      </c>
      <c r="M182" s="33"/>
      <c r="N182" s="33">
        <f>L182/144*30*2</f>
        <v>0.023270091865831802</v>
      </c>
    </row>
    <row r="183" spans="1:14" ht="12">
      <c r="A183" s="7">
        <v>175</v>
      </c>
      <c r="B183" s="5" t="s">
        <v>297</v>
      </c>
      <c r="C183" s="5" t="s">
        <v>298</v>
      </c>
      <c r="D183" s="9">
        <v>30</v>
      </c>
      <c r="E183" s="9">
        <v>1</v>
      </c>
      <c r="F183" s="12">
        <f>6586.8*D183*E183</f>
        <v>197604</v>
      </c>
      <c r="G183" s="12">
        <f>0*D183*E183</f>
        <v>0</v>
      </c>
      <c r="H183" s="12">
        <f t="shared" si="17"/>
        <v>0</v>
      </c>
      <c r="I183" s="12">
        <f>6270.6336*D183*E183</f>
        <v>188119.008</v>
      </c>
      <c r="J183" s="15">
        <f t="shared" si="18"/>
        <v>385723.00800000003</v>
      </c>
      <c r="K183">
        <v>217424.68999999997</v>
      </c>
      <c r="L183" s="33">
        <f t="shared" si="16"/>
        <v>0.1478377823604118</v>
      </c>
      <c r="M183" s="33"/>
      <c r="N183" s="33">
        <f>L183</f>
        <v>0.1478377823604118</v>
      </c>
    </row>
    <row r="184" spans="1:14" ht="12">
      <c r="A184" s="7">
        <v>176</v>
      </c>
      <c r="B184" s="5" t="s">
        <v>299</v>
      </c>
      <c r="C184" s="5" t="s">
        <v>300</v>
      </c>
      <c r="D184" s="9">
        <v>1</v>
      </c>
      <c r="E184" s="9">
        <v>1</v>
      </c>
      <c r="F184" s="12">
        <f>15414.3*D184*E184</f>
        <v>15414.3</v>
      </c>
      <c r="G184" s="12">
        <f>0*D184*E184</f>
        <v>0</v>
      </c>
      <c r="H184" s="12">
        <f t="shared" si="17"/>
        <v>0</v>
      </c>
      <c r="I184" s="12">
        <f>14674.4136*D184*E184</f>
        <v>14674.4136</v>
      </c>
      <c r="J184" s="15">
        <f t="shared" si="18"/>
        <v>30088.7136</v>
      </c>
      <c r="K184">
        <v>217424.68999999997</v>
      </c>
      <c r="L184" s="33">
        <f t="shared" si="16"/>
        <v>0.011532235828414887</v>
      </c>
      <c r="M184" s="33"/>
      <c r="N184" s="33">
        <f>L184</f>
        <v>0.011532235828414887</v>
      </c>
    </row>
    <row r="185" spans="1:14" ht="12">
      <c r="A185" s="7">
        <v>177</v>
      </c>
      <c r="B185" s="5" t="s">
        <v>301</v>
      </c>
      <c r="C185" s="5" t="s">
        <v>302</v>
      </c>
      <c r="D185" s="9">
        <v>1.5</v>
      </c>
      <c r="E185" s="9">
        <v>91</v>
      </c>
      <c r="F185" s="12">
        <f>145.3466*D185*E185</f>
        <v>19839.8109</v>
      </c>
      <c r="G185" s="12">
        <f>4.56984*D185*E185</f>
        <v>623.7831600000001</v>
      </c>
      <c r="H185" s="12">
        <f t="shared" si="17"/>
        <v>0</v>
      </c>
      <c r="I185" s="12">
        <f>138.3699632*D185*E185</f>
        <v>18887.499976799998</v>
      </c>
      <c r="J185" s="15">
        <f t="shared" si="18"/>
        <v>39351.0940368</v>
      </c>
      <c r="K185">
        <v>217424.68999999997</v>
      </c>
      <c r="L185" s="33">
        <f t="shared" si="16"/>
        <v>0.015082269802937287</v>
      </c>
      <c r="M185" s="33">
        <f>L185+L186+L187+L188+L189+L190+L191+L192+L193+L194+L195+L196+L197+L198+L199+L200</f>
        <v>0.17499327765508757</v>
      </c>
      <c r="N185" s="35">
        <f>SUM(N178:N184)</f>
        <v>1.0863921879477227</v>
      </c>
    </row>
    <row r="186" spans="1:13" ht="24">
      <c r="A186" s="7">
        <v>178</v>
      </c>
      <c r="B186" s="5" t="s">
        <v>303</v>
      </c>
      <c r="C186" s="5" t="s">
        <v>304</v>
      </c>
      <c r="D186" s="9">
        <v>97</v>
      </c>
      <c r="E186" s="9">
        <v>1</v>
      </c>
      <c r="F186" s="12">
        <f>44.97416*D186*E186</f>
        <v>4362.49352</v>
      </c>
      <c r="G186" s="12">
        <f>13.700821068*D186*E186</f>
        <v>1328.979643596</v>
      </c>
      <c r="H186" s="12">
        <f t="shared" si="17"/>
        <v>0</v>
      </c>
      <c r="I186" s="12">
        <f>42.81540032*D186*E186</f>
        <v>4153.093831040001</v>
      </c>
      <c r="J186" s="15">
        <f t="shared" si="18"/>
        <v>9844.566994636</v>
      </c>
      <c r="K186">
        <v>217424.68999999997</v>
      </c>
      <c r="L186" s="33">
        <f t="shared" si="16"/>
        <v>0.0037731712202801505</v>
      </c>
      <c r="M186" s="33"/>
    </row>
    <row r="187" spans="1:13" ht="12">
      <c r="A187" s="7">
        <v>179</v>
      </c>
      <c r="B187" s="5" t="s">
        <v>305</v>
      </c>
      <c r="C187" s="5" t="s">
        <v>306</v>
      </c>
      <c r="D187" s="9">
        <v>30</v>
      </c>
      <c r="E187" s="9">
        <v>1</v>
      </c>
      <c r="F187" s="12">
        <f>106.01052*D187*E187</f>
        <v>3180.3156</v>
      </c>
      <c r="G187" s="12">
        <f>21.4568046*D187*E187</f>
        <v>643.7041380000001</v>
      </c>
      <c r="H187" s="12">
        <f t="shared" si="17"/>
        <v>0</v>
      </c>
      <c r="I187" s="12">
        <f>100.92201504*D187*E187</f>
        <v>3027.6604512000004</v>
      </c>
      <c r="J187" s="15">
        <f t="shared" si="18"/>
        <v>6851.6801892</v>
      </c>
      <c r="K187">
        <v>217424.68999999997</v>
      </c>
      <c r="L187" s="33">
        <f t="shared" si="16"/>
        <v>0.002626074109154761</v>
      </c>
      <c r="M187" s="33"/>
    </row>
    <row r="188" spans="1:13" ht="12">
      <c r="A188" s="7">
        <v>180</v>
      </c>
      <c r="B188" s="5" t="s">
        <v>307</v>
      </c>
      <c r="C188" s="5" t="s">
        <v>306</v>
      </c>
      <c r="D188" s="9">
        <v>30</v>
      </c>
      <c r="E188" s="9">
        <v>1</v>
      </c>
      <c r="F188" s="12">
        <f>106.01052*D188*E188</f>
        <v>3180.3156</v>
      </c>
      <c r="G188" s="12">
        <f>21.4568046*D188*E188</f>
        <v>643.7041380000001</v>
      </c>
      <c r="H188" s="12">
        <f t="shared" si="17"/>
        <v>0</v>
      </c>
      <c r="I188" s="12">
        <f>100.92201504*D188*E188</f>
        <v>3027.6604512000004</v>
      </c>
      <c r="J188" s="15">
        <f aca="true" t="shared" si="19" ref="J188:J219">SUM(F188:I188)</f>
        <v>6851.6801892</v>
      </c>
      <c r="K188">
        <v>217424.68999999997</v>
      </c>
      <c r="L188" s="33">
        <f t="shared" si="16"/>
        <v>0.002626074109154761</v>
      </c>
      <c r="M188" s="33"/>
    </row>
    <row r="189" spans="1:13" ht="12">
      <c r="A189" s="7">
        <v>181</v>
      </c>
      <c r="B189" s="5" t="s">
        <v>308</v>
      </c>
      <c r="C189" s="5" t="s">
        <v>309</v>
      </c>
      <c r="D189" s="9">
        <v>30</v>
      </c>
      <c r="E189" s="9">
        <v>1</v>
      </c>
      <c r="F189" s="12">
        <f>48.1866*D189*E189</f>
        <v>1445.598</v>
      </c>
      <c r="G189" s="12">
        <f>21.943505034*D189*E189</f>
        <v>658.30515102</v>
      </c>
      <c r="H189" s="12">
        <f t="shared" si="17"/>
        <v>0</v>
      </c>
      <c r="I189" s="12">
        <f>45.8736432*D189*E189</f>
        <v>1376.209296</v>
      </c>
      <c r="J189" s="15">
        <f t="shared" si="19"/>
        <v>3480.11244702</v>
      </c>
      <c r="K189">
        <v>217424.68999999997</v>
      </c>
      <c r="L189" s="33">
        <f t="shared" si="16"/>
        <v>0.0013338382618137805</v>
      </c>
      <c r="M189" s="33"/>
    </row>
    <row r="190" spans="1:13" ht="12">
      <c r="A190" s="7">
        <v>182</v>
      </c>
      <c r="B190" s="5" t="s">
        <v>310</v>
      </c>
      <c r="C190" s="5" t="s">
        <v>311</v>
      </c>
      <c r="D190" s="9">
        <v>30</v>
      </c>
      <c r="E190" s="9">
        <v>1</v>
      </c>
      <c r="F190" s="12">
        <f>111.63229*D190*E190</f>
        <v>3348.9687</v>
      </c>
      <c r="G190" s="12">
        <f>21.4568046*D190*E190</f>
        <v>643.7041380000001</v>
      </c>
      <c r="H190" s="12">
        <f t="shared" si="17"/>
        <v>0</v>
      </c>
      <c r="I190" s="12">
        <f>106.27394008*D190*E190</f>
        <v>3188.2182024</v>
      </c>
      <c r="J190" s="15">
        <f t="shared" si="19"/>
        <v>7180.8910404</v>
      </c>
      <c r="K190">
        <v>217424.68999999997</v>
      </c>
      <c r="L190" s="33">
        <f t="shared" si="16"/>
        <v>0.0027522522244368846</v>
      </c>
      <c r="M190" s="33"/>
    </row>
    <row r="191" spans="1:13" ht="12">
      <c r="A191" s="7">
        <v>183</v>
      </c>
      <c r="B191" s="5" t="s">
        <v>312</v>
      </c>
      <c r="C191" s="5" t="s">
        <v>313</v>
      </c>
      <c r="D191" s="9">
        <v>30</v>
      </c>
      <c r="E191" s="9">
        <v>1</v>
      </c>
      <c r="F191" s="12">
        <f>51.39904*D191*E191</f>
        <v>1541.9712</v>
      </c>
      <c r="G191" s="12">
        <f>10.098713592*D191*E191</f>
        <v>302.96140776</v>
      </c>
      <c r="H191" s="12">
        <f t="shared" si="17"/>
        <v>0</v>
      </c>
      <c r="I191" s="12">
        <f>48.93188608*D191*E191</f>
        <v>1467.9565824</v>
      </c>
      <c r="J191" s="15">
        <f t="shared" si="19"/>
        <v>3312.88919016</v>
      </c>
      <c r="K191">
        <v>217424.68999999997</v>
      </c>
      <c r="L191" s="33">
        <f t="shared" si="16"/>
        <v>0.0012697458562778681</v>
      </c>
      <c r="M191" s="33"/>
    </row>
    <row r="192" spans="1:13" ht="12">
      <c r="A192" s="7">
        <v>184</v>
      </c>
      <c r="B192" s="5" t="s">
        <v>314</v>
      </c>
      <c r="C192" s="5" t="s">
        <v>315</v>
      </c>
      <c r="D192" s="9">
        <v>30</v>
      </c>
      <c r="E192" s="9">
        <v>1</v>
      </c>
      <c r="F192" s="12">
        <f>76.29545*D192*E192</f>
        <v>2288.8635</v>
      </c>
      <c r="G192" s="12">
        <f>13.87684584*D192*E192</f>
        <v>416.3053752</v>
      </c>
      <c r="H192" s="12">
        <f t="shared" si="17"/>
        <v>0</v>
      </c>
      <c r="I192" s="12">
        <f>72.6332684*D192*E192</f>
        <v>2178.9980520000004</v>
      </c>
      <c r="J192" s="15">
        <f t="shared" si="19"/>
        <v>4884.1669272</v>
      </c>
      <c r="K192">
        <v>217424.68999999997</v>
      </c>
      <c r="L192" s="33">
        <f t="shared" si="16"/>
        <v>0.0018719765018407064</v>
      </c>
      <c r="M192" s="33"/>
    </row>
    <row r="193" spans="1:13" ht="36">
      <c r="A193" s="7">
        <v>185</v>
      </c>
      <c r="B193" s="5" t="s">
        <v>316</v>
      </c>
      <c r="C193" s="5" t="s">
        <v>304</v>
      </c>
      <c r="D193" s="9">
        <v>30</v>
      </c>
      <c r="E193" s="9">
        <v>1</v>
      </c>
      <c r="F193" s="12">
        <f>248.9641*D193*E193</f>
        <v>7468.923</v>
      </c>
      <c r="G193" s="12">
        <f>502.037207496*D193*E193</f>
        <v>15061.116224880001</v>
      </c>
      <c r="H193" s="12">
        <f t="shared" si="17"/>
        <v>0</v>
      </c>
      <c r="I193" s="12">
        <f>237.0138232*D193*E193</f>
        <v>7110.414696</v>
      </c>
      <c r="J193" s="15">
        <f t="shared" si="19"/>
        <v>29640.45392088</v>
      </c>
      <c r="K193">
        <v>217424.68999999997</v>
      </c>
      <c r="L193" s="33">
        <f t="shared" si="16"/>
        <v>0.01136042933642909</v>
      </c>
      <c r="M193" s="33"/>
    </row>
    <row r="194" spans="1:13" ht="12">
      <c r="A194" s="7">
        <v>186</v>
      </c>
      <c r="B194" s="5" t="s">
        <v>317</v>
      </c>
      <c r="C194" s="5" t="s">
        <v>306</v>
      </c>
      <c r="D194" s="9">
        <v>30</v>
      </c>
      <c r="E194" s="9">
        <v>1</v>
      </c>
      <c r="F194" s="12">
        <f>361.3995*D194*E194</f>
        <v>10841.985</v>
      </c>
      <c r="G194" s="12">
        <f>269.63555256*D194*E194</f>
        <v>8089.0665768</v>
      </c>
      <c r="H194" s="12">
        <f t="shared" si="17"/>
        <v>0</v>
      </c>
      <c r="I194" s="12">
        <f>344.052324*D194*E194</f>
        <v>10321.56972</v>
      </c>
      <c r="J194" s="15">
        <f t="shared" si="19"/>
        <v>29252.6212968</v>
      </c>
      <c r="K194">
        <v>217424.68999999997</v>
      </c>
      <c r="L194" s="33">
        <f t="shared" si="16"/>
        <v>0.011211782992078777</v>
      </c>
      <c r="M194" s="33"/>
    </row>
    <row r="195" spans="1:13" ht="12">
      <c r="A195" s="7">
        <v>187</v>
      </c>
      <c r="B195" s="5" t="s">
        <v>318</v>
      </c>
      <c r="C195" s="5" t="s">
        <v>306</v>
      </c>
      <c r="D195" s="9">
        <v>30</v>
      </c>
      <c r="E195" s="9">
        <v>1</v>
      </c>
      <c r="F195" s="12">
        <f>226.47702*D195*E195</f>
        <v>6794.310600000001</v>
      </c>
      <c r="G195" s="12">
        <f>117.52928748*D195*E195</f>
        <v>3525.8786244</v>
      </c>
      <c r="H195" s="12">
        <f t="shared" si="17"/>
        <v>0</v>
      </c>
      <c r="I195" s="12">
        <f>215.60612304*D195*E195</f>
        <v>6468.1836912</v>
      </c>
      <c r="J195" s="15">
        <f t="shared" si="19"/>
        <v>16788.3729156</v>
      </c>
      <c r="K195">
        <v>217424.68999999997</v>
      </c>
      <c r="L195" s="33">
        <f t="shared" si="16"/>
        <v>0.006434554770665651</v>
      </c>
      <c r="M195" s="33"/>
    </row>
    <row r="196" spans="1:13" ht="12">
      <c r="A196" s="7">
        <v>188</v>
      </c>
      <c r="B196" s="5" t="s">
        <v>319</v>
      </c>
      <c r="C196" s="5" t="s">
        <v>309</v>
      </c>
      <c r="D196" s="9">
        <v>30</v>
      </c>
      <c r="E196" s="9">
        <v>1</v>
      </c>
      <c r="F196" s="12">
        <f>168.6531*D196*E196</f>
        <v>5059.593</v>
      </c>
      <c r="G196" s="12">
        <f>769.04821818*D196*E196</f>
        <v>23071.446545400002</v>
      </c>
      <c r="H196" s="12">
        <f t="shared" si="17"/>
        <v>0</v>
      </c>
      <c r="I196" s="12">
        <f>160.5577512*D196*E196</f>
        <v>4816.732536</v>
      </c>
      <c r="J196" s="15">
        <f t="shared" si="19"/>
        <v>32947.772081400006</v>
      </c>
      <c r="K196">
        <v>217424.68999999997</v>
      </c>
      <c r="L196" s="33">
        <f t="shared" si="16"/>
        <v>0.012628039959261301</v>
      </c>
      <c r="M196" s="33"/>
    </row>
    <row r="197" spans="1:13" ht="12">
      <c r="A197" s="7">
        <v>189</v>
      </c>
      <c r="B197" s="5" t="s">
        <v>320</v>
      </c>
      <c r="C197" s="5" t="s">
        <v>311</v>
      </c>
      <c r="D197" s="9">
        <v>30</v>
      </c>
      <c r="E197" s="9">
        <v>1</v>
      </c>
      <c r="F197" s="12">
        <f>2227.623255*D197*E197</f>
        <v>66828.69765</v>
      </c>
      <c r="G197" s="12">
        <f>177.5012976*D197*E197</f>
        <v>5325.038928</v>
      </c>
      <c r="H197" s="12">
        <f t="shared" si="17"/>
        <v>0</v>
      </c>
      <c r="I197" s="12">
        <f>2120.69733876*D197*E197</f>
        <v>63620.9201628</v>
      </c>
      <c r="J197" s="15">
        <f t="shared" si="19"/>
        <v>135774.6567408</v>
      </c>
      <c r="K197">
        <v>217424.68999999997</v>
      </c>
      <c r="L197" s="33">
        <f t="shared" si="16"/>
        <v>0.05203895991940935</v>
      </c>
      <c r="M197" s="33"/>
    </row>
    <row r="198" spans="1:13" ht="12">
      <c r="A198" s="7">
        <v>190</v>
      </c>
      <c r="B198" s="5" t="s">
        <v>321</v>
      </c>
      <c r="C198" s="5" t="s">
        <v>313</v>
      </c>
      <c r="D198" s="9">
        <v>30</v>
      </c>
      <c r="E198" s="9">
        <v>1</v>
      </c>
      <c r="F198" s="12">
        <f>202.06098*D198*E198</f>
        <v>6061.8294</v>
      </c>
      <c r="G198" s="12">
        <f>13.62004578*D198*E198</f>
        <v>408.6013734</v>
      </c>
      <c r="H198" s="12">
        <f t="shared" si="17"/>
        <v>0</v>
      </c>
      <c r="I198" s="12">
        <f>192.36205296*D198*E198</f>
        <v>5770.8615888</v>
      </c>
      <c r="J198" s="15">
        <f t="shared" si="19"/>
        <v>12241.2923622</v>
      </c>
      <c r="K198">
        <v>217424.68999999997</v>
      </c>
      <c r="L198" s="33">
        <f t="shared" si="16"/>
        <v>0.004691774870875981</v>
      </c>
      <c r="M198" s="33"/>
    </row>
    <row r="199" spans="1:13" ht="12">
      <c r="A199" s="7">
        <v>191</v>
      </c>
      <c r="B199" s="5" t="s">
        <v>322</v>
      </c>
      <c r="C199" s="5" t="s">
        <v>315</v>
      </c>
      <c r="D199" s="9">
        <v>30</v>
      </c>
      <c r="E199" s="9">
        <v>1</v>
      </c>
      <c r="F199" s="12">
        <f>1523.38131*D199*E199</f>
        <v>45701.4393</v>
      </c>
      <c r="G199" s="12">
        <f>127.5425613*D199*E199</f>
        <v>3826.276839</v>
      </c>
      <c r="H199" s="12">
        <f t="shared" si="17"/>
        <v>0</v>
      </c>
      <c r="I199" s="12">
        <f>1450.25900712*D199*E199</f>
        <v>43507.7702136</v>
      </c>
      <c r="J199" s="15">
        <f t="shared" si="19"/>
        <v>93035.4863526</v>
      </c>
      <c r="K199">
        <v>217424.68999999997</v>
      </c>
      <c r="L199" s="33">
        <f aca="true" t="shared" si="20" ref="L199:L221">J199/K199/12</f>
        <v>0.03565812694064322</v>
      </c>
      <c r="M199" s="33"/>
    </row>
    <row r="200" spans="1:13" ht="12">
      <c r="A200" s="7">
        <v>192</v>
      </c>
      <c r="B200" s="5" t="s">
        <v>323</v>
      </c>
      <c r="C200" s="5" t="s">
        <v>309</v>
      </c>
      <c r="D200" s="9">
        <v>30</v>
      </c>
      <c r="E200" s="9">
        <v>1</v>
      </c>
      <c r="F200" s="12">
        <f>6.698*D200*E200</f>
        <v>200.94</v>
      </c>
      <c r="G200" s="12">
        <f>824.811273*D200*E200</f>
        <v>24744.338190000002</v>
      </c>
      <c r="H200" s="12">
        <f t="shared" si="17"/>
        <v>0</v>
      </c>
      <c r="I200" s="12">
        <f>6.376496*D200*E200</f>
        <v>191.29488</v>
      </c>
      <c r="J200" s="15">
        <f t="shared" si="19"/>
        <v>25136.573070000002</v>
      </c>
      <c r="K200">
        <v>217424.68999999997</v>
      </c>
      <c r="L200" s="33">
        <f t="shared" si="20"/>
        <v>0.009634206779827997</v>
      </c>
      <c r="M200" s="33"/>
    </row>
    <row r="201" spans="1:14" ht="48">
      <c r="A201" s="7">
        <v>193</v>
      </c>
      <c r="B201" s="5" t="s">
        <v>324</v>
      </c>
      <c r="C201" s="5" t="s">
        <v>325</v>
      </c>
      <c r="D201" s="9">
        <v>2.384</v>
      </c>
      <c r="E201" s="9">
        <v>182</v>
      </c>
      <c r="F201" s="12">
        <f>1562.6434*D201*E201</f>
        <v>678012.2195392</v>
      </c>
      <c r="G201" s="12">
        <f>63.756*D201*E201</f>
        <v>27662.963328</v>
      </c>
      <c r="H201" s="12">
        <f t="shared" si="17"/>
        <v>0</v>
      </c>
      <c r="I201" s="12">
        <f>1487.6365168*D201*E201</f>
        <v>645467.6330013183</v>
      </c>
      <c r="J201" s="15">
        <f t="shared" si="19"/>
        <v>1351142.8158685183</v>
      </c>
      <c r="K201">
        <v>217424.68999999997</v>
      </c>
      <c r="L201" s="33">
        <f t="shared" si="20"/>
        <v>0.5178585498073373</v>
      </c>
      <c r="M201" s="33"/>
      <c r="N201" s="33">
        <v>0.44</v>
      </c>
    </row>
    <row r="202" spans="1:14" ht="24">
      <c r="A202" s="7">
        <v>194</v>
      </c>
      <c r="B202" s="44" t="s">
        <v>779</v>
      </c>
      <c r="C202" s="5" t="s">
        <v>325</v>
      </c>
      <c r="D202" s="9">
        <v>12.283</v>
      </c>
      <c r="E202" s="9">
        <v>22</v>
      </c>
      <c r="F202" s="12">
        <f>2344.3*D202*E202</f>
        <v>633490.8118</v>
      </c>
      <c r="G202" s="12">
        <f>68.112*D202*E202</f>
        <v>18405.633311999998</v>
      </c>
      <c r="H202" s="12">
        <f t="shared" si="17"/>
        <v>0</v>
      </c>
      <c r="I202" s="12">
        <f>2231.7736*D202*E202</f>
        <v>603083.2528335999</v>
      </c>
      <c r="J202" s="15">
        <f t="shared" si="19"/>
        <v>1254979.6979456</v>
      </c>
      <c r="K202">
        <v>217424.68999999997</v>
      </c>
      <c r="L202" s="33">
        <f t="shared" si="20"/>
        <v>0.48100168152690786</v>
      </c>
      <c r="M202" s="33"/>
      <c r="N202" s="33">
        <f>L202/22*5</f>
        <v>0.10931856398338816</v>
      </c>
    </row>
    <row r="203" spans="1:14" ht="48">
      <c r="A203" s="7">
        <v>195</v>
      </c>
      <c r="B203" s="5" t="s">
        <v>327</v>
      </c>
      <c r="C203" s="5" t="s">
        <v>325</v>
      </c>
      <c r="D203" s="9">
        <v>2.384</v>
      </c>
      <c r="E203" s="9">
        <v>15</v>
      </c>
      <c r="F203" s="12">
        <f>6809.8566*D203*E203</f>
        <v>243520.47201599999</v>
      </c>
      <c r="G203" s="12">
        <f>265.815*D203*E203</f>
        <v>9505.544399999999</v>
      </c>
      <c r="H203" s="12">
        <f t="shared" si="17"/>
        <v>0</v>
      </c>
      <c r="I203" s="12">
        <f>6482.9834832*D203*E203</f>
        <v>231831.489359232</v>
      </c>
      <c r="J203" s="15">
        <f t="shared" si="19"/>
        <v>484857.505775232</v>
      </c>
      <c r="K203">
        <v>217424.68999999997</v>
      </c>
      <c r="L203" s="33">
        <f t="shared" si="20"/>
        <v>0.185833504685857</v>
      </c>
      <c r="M203" s="33"/>
      <c r="N203" s="33">
        <f>L203</f>
        <v>0.185833504685857</v>
      </c>
    </row>
    <row r="204" spans="1:14" ht="48">
      <c r="A204" s="7">
        <v>196</v>
      </c>
      <c r="B204" s="5" t="s">
        <v>328</v>
      </c>
      <c r="C204" s="5" t="s">
        <v>325</v>
      </c>
      <c r="D204" s="9">
        <v>0.715</v>
      </c>
      <c r="E204" s="9">
        <v>10</v>
      </c>
      <c r="F204" s="12">
        <f>47443.9434*D204*E204</f>
        <v>339224.19531</v>
      </c>
      <c r="G204" s="12">
        <f>174.24*D204*E204</f>
        <v>1245.816</v>
      </c>
      <c r="H204" s="12">
        <f t="shared" si="17"/>
        <v>0</v>
      </c>
      <c r="I204" s="12">
        <f>45166.6341168*D204*E204</f>
        <v>322941.43393512</v>
      </c>
      <c r="J204" s="15">
        <f t="shared" si="19"/>
        <v>663411.44524512</v>
      </c>
      <c r="K204">
        <v>217424.68999999997</v>
      </c>
      <c r="L204" s="33">
        <f t="shared" si="20"/>
        <v>0.2542686716203206</v>
      </c>
      <c r="M204" s="33"/>
      <c r="N204" s="33">
        <v>0</v>
      </c>
    </row>
    <row r="205" spans="1:13" ht="12">
      <c r="A205" s="7">
        <v>197</v>
      </c>
      <c r="B205" s="5" t="s">
        <v>329</v>
      </c>
      <c r="C205" s="5" t="s">
        <v>330</v>
      </c>
      <c r="D205" s="9">
        <v>60</v>
      </c>
      <c r="E205" s="9">
        <v>1</v>
      </c>
      <c r="F205" s="12">
        <f>55.79434*D205*E205</f>
        <v>3347.6603999999998</v>
      </c>
      <c r="G205" s="12">
        <f>0*D205*E205</f>
        <v>0</v>
      </c>
      <c r="H205" s="12">
        <f t="shared" si="17"/>
        <v>0</v>
      </c>
      <c r="I205" s="12">
        <f>53.11621168*D205*E205</f>
        <v>3186.9727008</v>
      </c>
      <c r="J205" s="15">
        <f t="shared" si="19"/>
        <v>6534.6331008</v>
      </c>
      <c r="K205">
        <v>217424.68999999997</v>
      </c>
      <c r="L205" s="33">
        <f t="shared" si="20"/>
        <v>0.00250455805364147</v>
      </c>
      <c r="M205" s="33"/>
    </row>
    <row r="206" spans="1:14" ht="12">
      <c r="A206" s="7">
        <v>198</v>
      </c>
      <c r="B206" s="5" t="s">
        <v>331</v>
      </c>
      <c r="C206" s="5" t="s">
        <v>44</v>
      </c>
      <c r="D206" s="9">
        <v>23.84</v>
      </c>
      <c r="E206" s="9">
        <v>10</v>
      </c>
      <c r="F206" s="12">
        <f>14.46768*D206*E206</f>
        <v>3449.094912</v>
      </c>
      <c r="G206" s="12">
        <f>565.0705665*D206*E206</f>
        <v>134712.8230536</v>
      </c>
      <c r="H206" s="12">
        <f t="shared" si="17"/>
        <v>0</v>
      </c>
      <c r="I206" s="12">
        <f>13.77323136*D206*E206</f>
        <v>3283.5383562240004</v>
      </c>
      <c r="J206" s="15">
        <f t="shared" si="19"/>
        <v>141445.456321824</v>
      </c>
      <c r="K206">
        <v>217424.68999999997</v>
      </c>
      <c r="L206" s="33">
        <f t="shared" si="20"/>
        <v>0.054212432636569476</v>
      </c>
      <c r="M206" s="33"/>
      <c r="N206" s="33">
        <f>L206</f>
        <v>0.054212432636569476</v>
      </c>
    </row>
    <row r="207" spans="1:14" ht="36">
      <c r="A207" s="7">
        <v>199</v>
      </c>
      <c r="B207" s="5" t="s">
        <v>332</v>
      </c>
      <c r="C207" s="5" t="s">
        <v>333</v>
      </c>
      <c r="D207" s="9">
        <v>60</v>
      </c>
      <c r="E207" s="9">
        <v>10</v>
      </c>
      <c r="F207" s="12">
        <f>70.9988*D207*E207</f>
        <v>42599.28</v>
      </c>
      <c r="G207" s="12">
        <f>123.75*D207*E207</f>
        <v>74250</v>
      </c>
      <c r="H207" s="12">
        <f t="shared" si="17"/>
        <v>0</v>
      </c>
      <c r="I207" s="12">
        <f>67.5908576*D207*E207</f>
        <v>40554.51456</v>
      </c>
      <c r="J207" s="15">
        <f t="shared" si="19"/>
        <v>157403.79456</v>
      </c>
      <c r="K207">
        <v>217424.68999999997</v>
      </c>
      <c r="L207" s="33">
        <f t="shared" si="20"/>
        <v>0.060328856304221946</v>
      </c>
      <c r="M207" s="33"/>
      <c r="N207" s="33">
        <v>0</v>
      </c>
    </row>
    <row r="208" spans="1:13" ht="24">
      <c r="A208" s="7">
        <v>200</v>
      </c>
      <c r="B208" s="5" t="s">
        <v>334</v>
      </c>
      <c r="C208" s="5" t="s">
        <v>335</v>
      </c>
      <c r="D208" s="9">
        <v>97</v>
      </c>
      <c r="E208" s="9">
        <v>5</v>
      </c>
      <c r="F208" s="12">
        <f>8.0376*D208*E208</f>
        <v>3898.236</v>
      </c>
      <c r="G208" s="12">
        <f>0*D208*E208</f>
        <v>0</v>
      </c>
      <c r="H208" s="12">
        <f t="shared" si="17"/>
        <v>0</v>
      </c>
      <c r="I208" s="12">
        <f>7.6517952*D208*E208</f>
        <v>3711.1206719999996</v>
      </c>
      <c r="J208" s="15">
        <f t="shared" si="19"/>
        <v>7609.356672</v>
      </c>
      <c r="K208">
        <v>217424.68999999997</v>
      </c>
      <c r="L208" s="33">
        <f t="shared" si="20"/>
        <v>0.002916472163303993</v>
      </c>
      <c r="M208" s="33"/>
    </row>
    <row r="209" spans="1:14" ht="24">
      <c r="A209" s="7">
        <v>201</v>
      </c>
      <c r="B209" s="5" t="s">
        <v>336</v>
      </c>
      <c r="C209" s="5" t="s">
        <v>337</v>
      </c>
      <c r="D209" s="9">
        <v>321.32</v>
      </c>
      <c r="E209" s="9">
        <v>1</v>
      </c>
      <c r="F209" s="12">
        <f>222.354*D209*E209</f>
        <v>71446.78728</v>
      </c>
      <c r="G209" s="12">
        <f>0*D209*E209</f>
        <v>0</v>
      </c>
      <c r="H209" s="12">
        <f t="shared" si="17"/>
        <v>0</v>
      </c>
      <c r="I209" s="12">
        <f>211.681008*D209*E209</f>
        <v>68017.34149056</v>
      </c>
      <c r="J209" s="15">
        <f t="shared" si="19"/>
        <v>139464.12877056</v>
      </c>
      <c r="K209">
        <v>217424.68999999997</v>
      </c>
      <c r="L209" s="33">
        <f t="shared" si="20"/>
        <v>0.053453040364827016</v>
      </c>
      <c r="M209" s="33"/>
      <c r="N209" s="33">
        <v>0</v>
      </c>
    </row>
    <row r="210" spans="1:14" ht="12">
      <c r="A210" s="7">
        <v>202</v>
      </c>
      <c r="B210" s="5" t="s">
        <v>338</v>
      </c>
      <c r="C210" s="5" t="s">
        <v>339</v>
      </c>
      <c r="D210" s="9">
        <v>321.32</v>
      </c>
      <c r="E210" s="9">
        <v>1</v>
      </c>
      <c r="F210" s="12">
        <f>88.9416*D210*E210</f>
        <v>28578.714911999996</v>
      </c>
      <c r="G210" s="12">
        <f>0*D210*E210</f>
        <v>0</v>
      </c>
      <c r="H210" s="12">
        <f t="shared" si="17"/>
        <v>0</v>
      </c>
      <c r="I210" s="12">
        <f>84.6724032*D210*E210</f>
        <v>27206.936596224</v>
      </c>
      <c r="J210" s="15">
        <f t="shared" si="19"/>
        <v>55785.65150822399</v>
      </c>
      <c r="K210">
        <v>217424.68999999997</v>
      </c>
      <c r="L210" s="33">
        <f t="shared" si="20"/>
        <v>0.021381216145930804</v>
      </c>
      <c r="M210" s="33"/>
      <c r="N210" s="33">
        <v>0</v>
      </c>
    </row>
    <row r="211" spans="1:13" ht="36">
      <c r="A211" s="7">
        <v>203</v>
      </c>
      <c r="B211" s="5" t="s">
        <v>340</v>
      </c>
      <c r="C211" s="5" t="s">
        <v>341</v>
      </c>
      <c r="D211" s="9">
        <v>2.384</v>
      </c>
      <c r="E211" s="9">
        <v>1</v>
      </c>
      <c r="F211" s="12">
        <f>0*D211*E211</f>
        <v>0</v>
      </c>
      <c r="G211" s="12">
        <f>0*D211*E211</f>
        <v>0</v>
      </c>
      <c r="H211" s="12">
        <f t="shared" si="17"/>
        <v>0</v>
      </c>
      <c r="I211" s="12">
        <f>0*D211*E211</f>
        <v>0</v>
      </c>
      <c r="J211" s="15">
        <f t="shared" si="19"/>
        <v>0</v>
      </c>
      <c r="K211">
        <v>217424.68999999997</v>
      </c>
      <c r="L211" s="33">
        <f t="shared" si="20"/>
        <v>0</v>
      </c>
      <c r="M211" s="33"/>
    </row>
    <row r="212" spans="1:13" ht="36">
      <c r="A212" s="7">
        <v>204</v>
      </c>
      <c r="B212" s="5" t="s">
        <v>342</v>
      </c>
      <c r="C212" s="5" t="s">
        <v>341</v>
      </c>
      <c r="D212" s="9">
        <v>2.384</v>
      </c>
      <c r="E212" s="9">
        <v>1</v>
      </c>
      <c r="F212" s="12">
        <f>0*D212*E212</f>
        <v>0</v>
      </c>
      <c r="G212" s="12">
        <f>0*D212*E212</f>
        <v>0</v>
      </c>
      <c r="H212" s="12">
        <f t="shared" si="17"/>
        <v>0</v>
      </c>
      <c r="I212" s="12">
        <f>0*D212*E212</f>
        <v>0</v>
      </c>
      <c r="J212" s="15">
        <f t="shared" si="19"/>
        <v>0</v>
      </c>
      <c r="K212">
        <v>217424.68999999997</v>
      </c>
      <c r="L212" s="33">
        <f t="shared" si="20"/>
        <v>0</v>
      </c>
      <c r="M212" s="33"/>
    </row>
    <row r="213" spans="1:14" ht="36">
      <c r="A213" s="7">
        <v>205</v>
      </c>
      <c r="B213" s="5" t="s">
        <v>343</v>
      </c>
      <c r="C213" s="5" t="s">
        <v>344</v>
      </c>
      <c r="D213" s="9">
        <v>14.55</v>
      </c>
      <c r="E213" s="9">
        <v>182</v>
      </c>
      <c r="F213" s="12">
        <f>92.4324*D213*E213</f>
        <v>244770.23844000002</v>
      </c>
      <c r="G213" s="12">
        <f>0.638055*D213*E213</f>
        <v>1689.6334455</v>
      </c>
      <c r="H213" s="12">
        <f t="shared" si="17"/>
        <v>0</v>
      </c>
      <c r="I213" s="12">
        <f>87.9956448*D213*E213</f>
        <v>233021.26699488</v>
      </c>
      <c r="J213" s="15">
        <f t="shared" si="19"/>
        <v>479481.13888037996</v>
      </c>
      <c r="K213">
        <v>217424.68999999997</v>
      </c>
      <c r="L213" s="33">
        <f t="shared" si="20"/>
        <v>0.18377288050112894</v>
      </c>
      <c r="M213" s="33"/>
      <c r="N213" s="33">
        <f>L213/2</f>
        <v>0.09188644025056447</v>
      </c>
    </row>
    <row r="214" spans="1:14" ht="24">
      <c r="A214" s="7">
        <v>206</v>
      </c>
      <c r="B214" s="5" t="s">
        <v>345</v>
      </c>
      <c r="C214" s="5" t="s">
        <v>344</v>
      </c>
      <c r="D214" s="9">
        <v>14.55</v>
      </c>
      <c r="E214" s="9">
        <v>144</v>
      </c>
      <c r="F214" s="12">
        <f>17.0799*D214*E214</f>
        <v>35785.80648</v>
      </c>
      <c r="G214" s="12">
        <f>0.287892*D214*E214</f>
        <v>603.1913184</v>
      </c>
      <c r="H214" s="12">
        <f t="shared" si="17"/>
        <v>0</v>
      </c>
      <c r="I214" s="12">
        <f>16.2600648*D214*E214</f>
        <v>34068.08776896</v>
      </c>
      <c r="J214" s="15">
        <f t="shared" si="19"/>
        <v>70457.08556736</v>
      </c>
      <c r="K214">
        <v>217424.68999999997</v>
      </c>
      <c r="L214" s="33">
        <f t="shared" si="20"/>
        <v>0.027004402293410196</v>
      </c>
      <c r="M214" s="33"/>
      <c r="N214" s="33">
        <v>0.02</v>
      </c>
    </row>
    <row r="215" spans="1:14" ht="24">
      <c r="A215" s="7">
        <v>207</v>
      </c>
      <c r="B215" s="5" t="s">
        <v>346</v>
      </c>
      <c r="C215" s="5" t="s">
        <v>347</v>
      </c>
      <c r="D215" s="9">
        <v>97</v>
      </c>
      <c r="E215" s="9">
        <v>7</v>
      </c>
      <c r="F215" s="12">
        <f>35.03054*D215*E215</f>
        <v>23785.736660000002</v>
      </c>
      <c r="G215" s="12">
        <f>0.16302726*D215*E215</f>
        <v>110.69550954</v>
      </c>
      <c r="H215" s="12">
        <f t="shared" si="17"/>
        <v>0</v>
      </c>
      <c r="I215" s="12">
        <f>33.34907408*D215*E215</f>
        <v>22644.02130032</v>
      </c>
      <c r="J215" s="15">
        <f t="shared" si="19"/>
        <v>46540.453469860004</v>
      </c>
      <c r="K215">
        <v>217424.68999999997</v>
      </c>
      <c r="L215" s="33">
        <f t="shared" si="20"/>
        <v>0.017837767746102497</v>
      </c>
      <c r="M215" s="33"/>
      <c r="N215">
        <v>0</v>
      </c>
    </row>
    <row r="216" spans="1:14" ht="24">
      <c r="A216" s="7">
        <v>208</v>
      </c>
      <c r="B216" s="5" t="s">
        <v>348</v>
      </c>
      <c r="C216" s="5" t="s">
        <v>344</v>
      </c>
      <c r="D216" s="9">
        <v>1.2</v>
      </c>
      <c r="E216" s="9">
        <v>108</v>
      </c>
      <c r="F216" s="12">
        <f>401.88*D216*E216</f>
        <v>52083.647999999994</v>
      </c>
      <c r="G216" s="12">
        <f>1.86318*D216*E216</f>
        <v>241.46812799999998</v>
      </c>
      <c r="H216" s="12">
        <f t="shared" si="17"/>
        <v>0</v>
      </c>
      <c r="I216" s="12">
        <f>382.58976*D216*E216</f>
        <v>49583.632895999996</v>
      </c>
      <c r="J216" s="15">
        <f t="shared" si="19"/>
        <v>101908.74902399999</v>
      </c>
      <c r="K216">
        <v>217424.68999999997</v>
      </c>
      <c r="L216" s="33">
        <f t="shared" si="20"/>
        <v>0.039059022008953996</v>
      </c>
      <c r="M216" s="33"/>
      <c r="N216">
        <v>0.04</v>
      </c>
    </row>
    <row r="217" spans="1:14" ht="24">
      <c r="A217" s="7">
        <v>209</v>
      </c>
      <c r="B217" s="5" t="s">
        <v>349</v>
      </c>
      <c r="C217" s="5" t="s">
        <v>350</v>
      </c>
      <c r="D217" s="9">
        <v>1.2</v>
      </c>
      <c r="E217" s="9">
        <v>144</v>
      </c>
      <c r="F217" s="12">
        <f>162.7614*D217*E217</f>
        <v>28125.16992</v>
      </c>
      <c r="G217" s="12">
        <f>1.00584*D217*E217</f>
        <v>173.809152</v>
      </c>
      <c r="H217" s="12">
        <f t="shared" si="17"/>
        <v>0</v>
      </c>
      <c r="I217" s="12">
        <f>154.9488528*D217*E217</f>
        <v>26775.16176384</v>
      </c>
      <c r="J217" s="15">
        <f t="shared" si="19"/>
        <v>55074.14083584</v>
      </c>
      <c r="K217">
        <v>217424.68999999997</v>
      </c>
      <c r="L217" s="33">
        <f t="shared" si="20"/>
        <v>0.021108512268408892</v>
      </c>
      <c r="M217" s="33"/>
      <c r="N217">
        <v>0.02</v>
      </c>
    </row>
    <row r="218" spans="1:14" ht="24">
      <c r="A218" s="7">
        <v>210</v>
      </c>
      <c r="B218" s="5" t="s">
        <v>351</v>
      </c>
      <c r="C218" s="5" t="s">
        <v>352</v>
      </c>
      <c r="D218" s="9">
        <v>0.9</v>
      </c>
      <c r="E218" s="9">
        <v>4</v>
      </c>
      <c r="F218" s="12">
        <f>5224.44*D218*E218</f>
        <v>18807.984</v>
      </c>
      <c r="G218" s="12">
        <f>4317.109236*D218*E218</f>
        <v>15541.5932496</v>
      </c>
      <c r="H218" s="12">
        <f t="shared" si="17"/>
        <v>0</v>
      </c>
      <c r="I218" s="12">
        <f>4973.66688*D218*E218</f>
        <v>17905.200768</v>
      </c>
      <c r="J218" s="15">
        <f t="shared" si="19"/>
        <v>52254.778017599994</v>
      </c>
      <c r="K218">
        <v>217424.68999999997</v>
      </c>
      <c r="L218" s="33">
        <f t="shared" si="20"/>
        <v>0.0200279224719143</v>
      </c>
      <c r="M218" s="33"/>
      <c r="N218" s="33">
        <v>0</v>
      </c>
    </row>
    <row r="219" spans="1:14" ht="24">
      <c r="A219" s="7">
        <v>211</v>
      </c>
      <c r="B219" s="34" t="s">
        <v>353</v>
      </c>
      <c r="C219" s="5" t="s">
        <v>113</v>
      </c>
      <c r="D219" s="9">
        <v>51.3</v>
      </c>
      <c r="E219" s="9">
        <v>2</v>
      </c>
      <c r="F219" s="12">
        <f>158.57944554991*D219*E219</f>
        <v>16270.251113420763</v>
      </c>
      <c r="G219" s="12">
        <f>3473.37541386*D219*E219</f>
        <v>356368.317462036</v>
      </c>
      <c r="H219" s="12">
        <f t="shared" si="17"/>
        <v>0</v>
      </c>
      <c r="I219" s="12">
        <f>150.96763216351*D219*E219</f>
        <v>15489.279059976125</v>
      </c>
      <c r="J219" s="15">
        <f t="shared" si="19"/>
        <v>388127.84763543284</v>
      </c>
      <c r="K219">
        <v>217424.68999999997</v>
      </c>
      <c r="L219" s="33">
        <f t="shared" si="20"/>
        <v>0.1487594960027435</v>
      </c>
      <c r="M219" s="33"/>
      <c r="N219" s="33">
        <v>0</v>
      </c>
    </row>
    <row r="220" spans="1:14" ht="13.5" thickBot="1">
      <c r="A220" s="73" t="s">
        <v>110</v>
      </c>
      <c r="B220" s="74"/>
      <c r="C220" s="74"/>
      <c r="D220" s="74"/>
      <c r="E220" s="74"/>
      <c r="F220" s="13">
        <f>SUM(F156:F219)</f>
        <v>10161456.375149086</v>
      </c>
      <c r="G220" s="13">
        <f>SUM(G156:G219)</f>
        <v>1669291.6763618875</v>
      </c>
      <c r="H220" s="13">
        <f>SUM(H156:H219)</f>
        <v>0</v>
      </c>
      <c r="I220" s="13">
        <f>SUM(I156:I219)</f>
        <v>9673706.469141936</v>
      </c>
      <c r="J220" s="16">
        <f>SUM(J156:J219)</f>
        <v>21504454.520652913</v>
      </c>
      <c r="L220" s="33"/>
      <c r="M220" s="33"/>
      <c r="N220" s="35">
        <f>SUM(N201:N219)</f>
        <v>0.9612509415563792</v>
      </c>
    </row>
    <row r="221" spans="1:14" ht="14.25" thickBot="1" thickTop="1">
      <c r="A221" s="75" t="s">
        <v>354</v>
      </c>
      <c r="B221" s="76"/>
      <c r="C221" s="76"/>
      <c r="D221" s="76"/>
      <c r="E221" s="76"/>
      <c r="F221" s="17">
        <f>F59+F154+F220</f>
        <v>15927612.206724344</v>
      </c>
      <c r="G221" s="17">
        <f>G59+G154+G220</f>
        <v>6967561.823266349</v>
      </c>
      <c r="H221" s="17">
        <f>H59+H154+H220</f>
        <v>5389.787948100001</v>
      </c>
      <c r="I221" s="17">
        <f>I59+I154+I220</f>
        <v>15164837.511985362</v>
      </c>
      <c r="J221" s="18">
        <f>J59+J154+J220</f>
        <v>38065401.329924166</v>
      </c>
      <c r="K221">
        <v>217424.68999999997</v>
      </c>
      <c r="L221" s="33">
        <f t="shared" si="20"/>
        <v>14.589496609118683</v>
      </c>
      <c r="M221" s="33">
        <f>SUM(M4:M220)</f>
        <v>14.591954437221736</v>
      </c>
      <c r="N221" s="35">
        <f>N220+N185</f>
        <v>2.047643129504102</v>
      </c>
    </row>
    <row r="222" spans="12:13" ht="12.75" thickTop="1">
      <c r="L222" s="33"/>
      <c r="M222" s="33"/>
    </row>
  </sheetData>
  <sheetProtection/>
  <mergeCells count="8">
    <mergeCell ref="A220:E220"/>
    <mergeCell ref="A221:E221"/>
    <mergeCell ref="A2:J2"/>
    <mergeCell ref="A3:J3"/>
    <mergeCell ref="A59:E59"/>
    <mergeCell ref="A60:J60"/>
    <mergeCell ref="A154:E154"/>
    <mergeCell ref="A155:J1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J5" sqref="J5"/>
    </sheetView>
  </sheetViews>
  <sheetFormatPr defaultColWidth="9.140625" defaultRowHeight="12"/>
  <cols>
    <col min="1" max="1" width="6.421875" style="0" customWidth="1"/>
    <col min="2" max="2" width="40.00390625" style="0" customWidth="1"/>
    <col min="3" max="3" width="19.140625" style="0" customWidth="1"/>
    <col min="4" max="4" width="15.28125" style="0" customWidth="1"/>
  </cols>
  <sheetData>
    <row r="1" spans="1:4" ht="39" customHeight="1">
      <c r="A1" s="55"/>
      <c r="B1" s="86" t="s">
        <v>787</v>
      </c>
      <c r="C1" s="86"/>
      <c r="D1" s="86"/>
    </row>
    <row r="2" spans="1:4" ht="6.75" customHeight="1">
      <c r="A2" s="55"/>
      <c r="B2" s="86"/>
      <c r="C2" s="86"/>
      <c r="D2" s="86"/>
    </row>
    <row r="3" spans="1:4" ht="27" customHeight="1">
      <c r="A3" s="85" t="s">
        <v>797</v>
      </c>
      <c r="B3" s="85"/>
      <c r="C3" s="85"/>
      <c r="D3" s="85"/>
    </row>
    <row r="4" spans="1:4" ht="54" customHeight="1">
      <c r="A4" s="61"/>
      <c r="B4" s="87" t="s">
        <v>813</v>
      </c>
      <c r="C4" s="87"/>
      <c r="D4" s="87"/>
    </row>
    <row r="5" spans="1:4" ht="28.5">
      <c r="A5" s="36"/>
      <c r="B5" s="37" t="s">
        <v>2</v>
      </c>
      <c r="C5" s="37" t="s">
        <v>794</v>
      </c>
      <c r="D5" s="37" t="s">
        <v>793</v>
      </c>
    </row>
    <row r="6" spans="1:4" ht="12.75">
      <c r="A6" s="36" t="s">
        <v>705</v>
      </c>
      <c r="B6" s="36" t="s">
        <v>14</v>
      </c>
      <c r="C6" s="38"/>
      <c r="D6" s="54">
        <f>D7+D8+D9+D10+D11+D12</f>
        <v>1.6800000000000002</v>
      </c>
    </row>
    <row r="7" spans="1:4" ht="25.5">
      <c r="A7" s="36"/>
      <c r="B7" s="38" t="s">
        <v>706</v>
      </c>
      <c r="C7" s="38" t="s">
        <v>707</v>
      </c>
      <c r="D7" s="42">
        <v>0.15</v>
      </c>
    </row>
    <row r="8" spans="1:4" ht="25.5">
      <c r="A8" s="36"/>
      <c r="B8" s="38" t="s">
        <v>708</v>
      </c>
      <c r="C8" s="38" t="s">
        <v>707</v>
      </c>
      <c r="D8" s="42">
        <v>0.61</v>
      </c>
    </row>
    <row r="9" spans="1:4" ht="25.5">
      <c r="A9" s="36"/>
      <c r="B9" s="38" t="s">
        <v>709</v>
      </c>
      <c r="C9" s="38" t="s">
        <v>707</v>
      </c>
      <c r="D9" s="42">
        <v>0.51</v>
      </c>
    </row>
    <row r="10" spans="1:4" ht="25.5">
      <c r="A10" s="36"/>
      <c r="B10" s="38" t="s">
        <v>710</v>
      </c>
      <c r="C10" s="38" t="s">
        <v>707</v>
      </c>
      <c r="D10" s="42">
        <v>0.24</v>
      </c>
    </row>
    <row r="11" spans="1:4" ht="25.5">
      <c r="A11" s="36"/>
      <c r="B11" s="38" t="s">
        <v>711</v>
      </c>
      <c r="C11" s="38" t="s">
        <v>707</v>
      </c>
      <c r="D11" s="42">
        <v>0.13</v>
      </c>
    </row>
    <row r="12" spans="1:4" ht="25.5">
      <c r="A12" s="36"/>
      <c r="B12" s="38" t="s">
        <v>788</v>
      </c>
      <c r="C12" s="38" t="s">
        <v>707</v>
      </c>
      <c r="D12" s="42">
        <v>0.04</v>
      </c>
    </row>
    <row r="13" spans="1:4" ht="25.5">
      <c r="A13" s="36" t="s">
        <v>712</v>
      </c>
      <c r="B13" s="36" t="s">
        <v>111</v>
      </c>
      <c r="C13" s="38" t="s">
        <v>707</v>
      </c>
      <c r="D13" s="54">
        <f>D14+D15+D16+D17</f>
        <v>2.29</v>
      </c>
    </row>
    <row r="14" spans="1:4" ht="25.5">
      <c r="A14" s="36"/>
      <c r="B14" s="38" t="s">
        <v>713</v>
      </c>
      <c r="C14" s="38" t="s">
        <v>707</v>
      </c>
      <c r="D14" s="42">
        <v>0.77</v>
      </c>
    </row>
    <row r="15" spans="1:4" ht="25.5">
      <c r="A15" s="36"/>
      <c r="B15" s="38" t="s">
        <v>714</v>
      </c>
      <c r="C15" s="38" t="s">
        <v>707</v>
      </c>
      <c r="D15" s="42">
        <v>0.83</v>
      </c>
    </row>
    <row r="16" spans="1:4" ht="25.5">
      <c r="A16" s="36"/>
      <c r="B16" s="38" t="s">
        <v>715</v>
      </c>
      <c r="C16" s="38" t="s">
        <v>707</v>
      </c>
      <c r="D16" s="42">
        <v>0.34</v>
      </c>
    </row>
    <row r="17" spans="1:4" ht="25.5">
      <c r="A17" s="36"/>
      <c r="B17" s="38" t="s">
        <v>716</v>
      </c>
      <c r="C17" s="38" t="s">
        <v>707</v>
      </c>
      <c r="D17" s="42">
        <v>0.35</v>
      </c>
    </row>
    <row r="18" spans="1:4" ht="25.5">
      <c r="A18" s="36" t="s">
        <v>717</v>
      </c>
      <c r="B18" s="36" t="s">
        <v>718</v>
      </c>
      <c r="C18" s="38" t="s">
        <v>719</v>
      </c>
      <c r="D18" s="52">
        <v>1.08</v>
      </c>
    </row>
    <row r="19" spans="1:4" ht="25.5">
      <c r="A19" s="36" t="s">
        <v>720</v>
      </c>
      <c r="B19" s="36" t="s">
        <v>721</v>
      </c>
      <c r="C19" s="38"/>
      <c r="D19" s="53">
        <f>D20+D27+D31+D46</f>
        <v>4.37</v>
      </c>
    </row>
    <row r="20" spans="1:4" ht="12.75">
      <c r="A20" s="36"/>
      <c r="B20" s="36" t="s">
        <v>722</v>
      </c>
      <c r="C20" s="38"/>
      <c r="D20" s="43">
        <v>1.35</v>
      </c>
    </row>
    <row r="21" spans="1:4" ht="38.25">
      <c r="A21" s="36"/>
      <c r="B21" s="38" t="s">
        <v>723</v>
      </c>
      <c r="C21" s="38" t="s">
        <v>724</v>
      </c>
      <c r="D21" s="40">
        <v>0.32</v>
      </c>
    </row>
    <row r="22" spans="1:4" ht="38.25">
      <c r="A22" s="36"/>
      <c r="B22" s="38" t="s">
        <v>725</v>
      </c>
      <c r="C22" s="38" t="s">
        <v>776</v>
      </c>
      <c r="D22" s="40">
        <v>0.52</v>
      </c>
    </row>
    <row r="23" spans="1:4" ht="25.5">
      <c r="A23" s="36"/>
      <c r="B23" s="38" t="s">
        <v>727</v>
      </c>
      <c r="C23" s="38" t="s">
        <v>724</v>
      </c>
      <c r="D23" s="40">
        <v>0.04</v>
      </c>
    </row>
    <row r="24" spans="1:4" ht="25.5">
      <c r="A24" s="36"/>
      <c r="B24" s="38" t="s">
        <v>728</v>
      </c>
      <c r="C24" s="38" t="s">
        <v>729</v>
      </c>
      <c r="D24" s="40">
        <v>0.22</v>
      </c>
    </row>
    <row r="25" spans="1:4" ht="25.5">
      <c r="A25" s="36"/>
      <c r="B25" s="38" t="s">
        <v>730</v>
      </c>
      <c r="C25" s="38" t="s">
        <v>731</v>
      </c>
      <c r="D25" s="40">
        <v>0.22</v>
      </c>
    </row>
    <row r="26" spans="1:4" ht="12.75">
      <c r="A26" s="36"/>
      <c r="B26" s="38" t="s">
        <v>732</v>
      </c>
      <c r="C26" s="38" t="s">
        <v>729</v>
      </c>
      <c r="D26" s="40">
        <v>0.03</v>
      </c>
    </row>
    <row r="27" spans="1:4" ht="12.75">
      <c r="A27" s="36"/>
      <c r="B27" s="36" t="s">
        <v>733</v>
      </c>
      <c r="C27" s="38"/>
      <c r="D27" s="43">
        <f>D28+D29+D30</f>
        <v>0.8</v>
      </c>
    </row>
    <row r="28" spans="1:4" ht="12.75">
      <c r="A28" s="36"/>
      <c r="B28" s="38" t="s">
        <v>734</v>
      </c>
      <c r="C28" s="38" t="s">
        <v>803</v>
      </c>
      <c r="D28" s="40">
        <v>0.55</v>
      </c>
    </row>
    <row r="29" spans="1:4" ht="25.5">
      <c r="A29" s="36"/>
      <c r="B29" s="38" t="s">
        <v>735</v>
      </c>
      <c r="C29" s="38" t="s">
        <v>803</v>
      </c>
      <c r="D29" s="40">
        <v>0.22</v>
      </c>
    </row>
    <row r="30" spans="1:4" ht="25.5">
      <c r="A30" s="36"/>
      <c r="B30" s="38" t="s">
        <v>777</v>
      </c>
      <c r="C30" s="38" t="s">
        <v>731</v>
      </c>
      <c r="D30" s="40">
        <v>0.03</v>
      </c>
    </row>
    <row r="31" spans="1:4" ht="12.75">
      <c r="A31" s="36"/>
      <c r="B31" s="36" t="s">
        <v>736</v>
      </c>
      <c r="C31" s="38"/>
      <c r="D31" s="43">
        <v>2.05</v>
      </c>
    </row>
    <row r="32" spans="1:4" ht="25.5">
      <c r="A32" s="36"/>
      <c r="B32" s="38" t="s">
        <v>737</v>
      </c>
      <c r="C32" s="38" t="s">
        <v>724</v>
      </c>
      <c r="D32" s="48">
        <v>0.47</v>
      </c>
    </row>
    <row r="33" spans="1:4" ht="25.5">
      <c r="A33" s="36"/>
      <c r="B33" s="38" t="s">
        <v>738</v>
      </c>
      <c r="C33" s="38" t="s">
        <v>739</v>
      </c>
      <c r="D33" s="45">
        <v>0.38</v>
      </c>
    </row>
    <row r="34" spans="1:4" ht="25.5">
      <c r="A34" s="36"/>
      <c r="B34" s="38" t="s">
        <v>781</v>
      </c>
      <c r="C34" s="38" t="s">
        <v>783</v>
      </c>
      <c r="D34" s="45">
        <v>0.07</v>
      </c>
    </row>
    <row r="35" spans="1:4" ht="25.5">
      <c r="A35" s="36"/>
      <c r="B35" s="38" t="s">
        <v>780</v>
      </c>
      <c r="C35" s="38" t="s">
        <v>724</v>
      </c>
      <c r="D35" s="45">
        <v>0.02</v>
      </c>
    </row>
    <row r="36" spans="1:4" ht="38.25">
      <c r="A36" s="36"/>
      <c r="B36" s="38" t="s">
        <v>740</v>
      </c>
      <c r="C36" s="38" t="s">
        <v>724</v>
      </c>
      <c r="D36" s="45">
        <v>0.44</v>
      </c>
    </row>
    <row r="37" spans="1:4" ht="25.5">
      <c r="A37" s="36"/>
      <c r="B37" s="38" t="s">
        <v>741</v>
      </c>
      <c r="C37" s="38" t="s">
        <v>784</v>
      </c>
      <c r="D37" s="45">
        <v>0.11</v>
      </c>
    </row>
    <row r="38" spans="1:4" ht="38.25">
      <c r="A38" s="36"/>
      <c r="B38" s="38" t="s">
        <v>742</v>
      </c>
      <c r="C38" s="38" t="s">
        <v>743</v>
      </c>
      <c r="D38" s="45">
        <v>0.15</v>
      </c>
    </row>
    <row r="39" spans="1:4" ht="25.5">
      <c r="A39" s="36"/>
      <c r="B39" s="38" t="s">
        <v>744</v>
      </c>
      <c r="C39" s="38" t="s">
        <v>743</v>
      </c>
      <c r="D39" s="45">
        <v>0.03</v>
      </c>
    </row>
    <row r="40" spans="1:4" ht="25.5">
      <c r="A40" s="36"/>
      <c r="B40" s="38" t="s">
        <v>343</v>
      </c>
      <c r="C40" s="38" t="s">
        <v>724</v>
      </c>
      <c r="D40" s="45">
        <v>0.05</v>
      </c>
    </row>
    <row r="41" spans="1:4" ht="25.5">
      <c r="A41" s="36"/>
      <c r="B41" s="38" t="s">
        <v>345</v>
      </c>
      <c r="C41" s="38" t="s">
        <v>724</v>
      </c>
      <c r="D41" s="45">
        <v>0.02</v>
      </c>
    </row>
    <row r="42" spans="1:4" ht="25.5">
      <c r="A42" s="36"/>
      <c r="B42" s="38" t="s">
        <v>348</v>
      </c>
      <c r="C42" s="38" t="s">
        <v>724</v>
      </c>
      <c r="D42" s="45">
        <v>0.04</v>
      </c>
    </row>
    <row r="43" spans="1:4" ht="12.75">
      <c r="A43" s="36"/>
      <c r="B43" s="38" t="s">
        <v>786</v>
      </c>
      <c r="C43" s="38" t="s">
        <v>785</v>
      </c>
      <c r="D43" s="45">
        <v>0.04</v>
      </c>
    </row>
    <row r="44" spans="1:4" ht="25.5">
      <c r="A44" s="36"/>
      <c r="B44" s="38" t="s">
        <v>745</v>
      </c>
      <c r="C44" s="38" t="s">
        <v>743</v>
      </c>
      <c r="D44" s="45">
        <v>0.05</v>
      </c>
    </row>
    <row r="45" spans="1:4" ht="25.5">
      <c r="A45" s="36"/>
      <c r="B45" t="s">
        <v>782</v>
      </c>
      <c r="C45" s="38" t="s">
        <v>743</v>
      </c>
      <c r="D45" s="45">
        <v>0.18</v>
      </c>
    </row>
    <row r="46" spans="1:4" ht="12.75">
      <c r="A46" s="36"/>
      <c r="B46" s="36" t="s">
        <v>746</v>
      </c>
      <c r="C46" s="38" t="s">
        <v>747</v>
      </c>
      <c r="D46" s="49">
        <v>0.17</v>
      </c>
    </row>
    <row r="47" spans="1:4" ht="12.75">
      <c r="A47" s="36" t="s">
        <v>748</v>
      </c>
      <c r="B47" s="36" t="s">
        <v>749</v>
      </c>
      <c r="C47" s="38" t="s">
        <v>726</v>
      </c>
      <c r="D47" s="46">
        <v>0.6</v>
      </c>
    </row>
    <row r="48" spans="1:4" ht="25.5">
      <c r="A48" s="36" t="s">
        <v>750</v>
      </c>
      <c r="B48" s="36" t="s">
        <v>751</v>
      </c>
      <c r="C48" s="38" t="s">
        <v>752</v>
      </c>
      <c r="D48" s="47">
        <v>1.9</v>
      </c>
    </row>
    <row r="49" spans="1:4" ht="12.75">
      <c r="A49" s="36" t="s">
        <v>753</v>
      </c>
      <c r="B49" s="36" t="s">
        <v>754</v>
      </c>
      <c r="C49" s="38" t="s">
        <v>755</v>
      </c>
      <c r="D49" s="47">
        <v>0.2</v>
      </c>
    </row>
    <row r="50" spans="1:4" ht="25.5">
      <c r="A50" s="36" t="s">
        <v>756</v>
      </c>
      <c r="B50" s="36" t="s">
        <v>757</v>
      </c>
      <c r="C50" s="38" t="s">
        <v>743</v>
      </c>
      <c r="D50" s="47">
        <v>0.09</v>
      </c>
    </row>
    <row r="51" spans="1:4" ht="25.5">
      <c r="A51" s="36" t="s">
        <v>758</v>
      </c>
      <c r="B51" s="36" t="s">
        <v>759</v>
      </c>
      <c r="C51" s="38" t="s">
        <v>747</v>
      </c>
      <c r="D51" s="50">
        <v>0.18</v>
      </c>
    </row>
    <row r="52" spans="1:4" ht="12.75">
      <c r="A52" s="36" t="s">
        <v>760</v>
      </c>
      <c r="B52" s="36" t="s">
        <v>761</v>
      </c>
      <c r="C52" s="38" t="s">
        <v>762</v>
      </c>
      <c r="D52" s="50">
        <v>1.15</v>
      </c>
    </row>
    <row r="53" spans="1:4" ht="12.75">
      <c r="A53" s="36" t="s">
        <v>763</v>
      </c>
      <c r="B53" s="39" t="s">
        <v>764</v>
      </c>
      <c r="C53" s="38" t="s">
        <v>755</v>
      </c>
      <c r="D53" s="47">
        <v>0.06</v>
      </c>
    </row>
    <row r="54" spans="1:4" ht="12.75">
      <c r="A54" s="36" t="s">
        <v>765</v>
      </c>
      <c r="B54" s="36" t="s">
        <v>766</v>
      </c>
      <c r="C54" s="38" t="s">
        <v>762</v>
      </c>
      <c r="D54" s="47">
        <v>2.75</v>
      </c>
    </row>
    <row r="55" spans="1:4" ht="12.75">
      <c r="A55" s="36" t="s">
        <v>767</v>
      </c>
      <c r="B55" s="36" t="s">
        <v>768</v>
      </c>
      <c r="C55" s="38"/>
      <c r="D55" s="47">
        <v>1.6</v>
      </c>
    </row>
    <row r="56" spans="1:4" ht="12.75">
      <c r="A56" s="36" t="s">
        <v>769</v>
      </c>
      <c r="B56" s="36" t="s">
        <v>771</v>
      </c>
      <c r="C56" s="38"/>
      <c r="D56" s="47">
        <v>0.95</v>
      </c>
    </row>
    <row r="57" spans="1:4" ht="12.75">
      <c r="A57" s="36"/>
      <c r="B57" s="36" t="s">
        <v>770</v>
      </c>
      <c r="C57" s="38"/>
      <c r="D57" s="51">
        <f>D6+D13+D18+D19+D47+D48+D49+D50+D51+D52+D53+D54+D55+D56</f>
        <v>18.900000000000002</v>
      </c>
    </row>
  </sheetData>
  <sheetProtection/>
  <mergeCells count="3">
    <mergeCell ref="A3:D3"/>
    <mergeCell ref="B1:D2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9">
      <selection activeCell="C28" sqref="C28:C29"/>
    </sheetView>
  </sheetViews>
  <sheetFormatPr defaultColWidth="9.140625" defaultRowHeight="12"/>
  <cols>
    <col min="2" max="2" width="35.28125" style="0" customWidth="1"/>
    <col min="3" max="3" width="23.57421875" style="0" customWidth="1"/>
    <col min="4" max="4" width="14.8515625" style="0" customWidth="1"/>
  </cols>
  <sheetData>
    <row r="1" spans="1:4" ht="15.75">
      <c r="A1" s="55"/>
      <c r="B1" s="86" t="s">
        <v>787</v>
      </c>
      <c r="C1" s="86"/>
      <c r="D1" s="86"/>
    </row>
    <row r="2" spans="1:4" ht="15.75">
      <c r="A2" s="55"/>
      <c r="B2" s="86"/>
      <c r="C2" s="86"/>
      <c r="D2" s="86"/>
    </row>
    <row r="3" spans="1:4" ht="15.75">
      <c r="A3" s="85" t="s">
        <v>797</v>
      </c>
      <c r="B3" s="85"/>
      <c r="C3" s="85"/>
      <c r="D3" s="85"/>
    </row>
    <row r="4" spans="1:4" ht="34.5" customHeight="1">
      <c r="A4" s="61"/>
      <c r="B4" s="88" t="s">
        <v>801</v>
      </c>
      <c r="C4" s="88"/>
      <c r="D4" s="88"/>
    </row>
    <row r="5" spans="1:4" ht="28.5">
      <c r="A5" s="36"/>
      <c r="B5" s="37" t="s">
        <v>2</v>
      </c>
      <c r="C5" s="37" t="s">
        <v>794</v>
      </c>
      <c r="D5" s="37" t="s">
        <v>793</v>
      </c>
    </row>
    <row r="6" spans="1:4" ht="12.75">
      <c r="A6" s="36" t="s">
        <v>705</v>
      </c>
      <c r="B6" s="36" t="s">
        <v>14</v>
      </c>
      <c r="C6" s="38"/>
      <c r="D6" s="54">
        <f>D7+D8+D9+D10+D11+D12</f>
        <v>1.6800000000000002</v>
      </c>
    </row>
    <row r="7" spans="1:4" ht="12.75">
      <c r="A7" s="36"/>
      <c r="B7" s="38" t="s">
        <v>706</v>
      </c>
      <c r="C7" s="38" t="s">
        <v>707</v>
      </c>
      <c r="D7" s="42">
        <v>0.15</v>
      </c>
    </row>
    <row r="8" spans="1:4" ht="12.75">
      <c r="A8" s="36"/>
      <c r="B8" s="38" t="s">
        <v>708</v>
      </c>
      <c r="C8" s="38" t="s">
        <v>707</v>
      </c>
      <c r="D8" s="42">
        <v>0.61</v>
      </c>
    </row>
    <row r="9" spans="1:4" ht="12.75">
      <c r="A9" s="36"/>
      <c r="B9" s="38" t="s">
        <v>709</v>
      </c>
      <c r="C9" s="38" t="s">
        <v>707</v>
      </c>
      <c r="D9" s="42">
        <v>0.51</v>
      </c>
    </row>
    <row r="10" spans="1:4" ht="12.75">
      <c r="A10" s="36"/>
      <c r="B10" s="38" t="s">
        <v>710</v>
      </c>
      <c r="C10" s="38" t="s">
        <v>707</v>
      </c>
      <c r="D10" s="42">
        <v>0.24</v>
      </c>
    </row>
    <row r="11" spans="1:4" ht="12.75">
      <c r="A11" s="36"/>
      <c r="B11" s="38" t="s">
        <v>711</v>
      </c>
      <c r="C11" s="38" t="s">
        <v>707</v>
      </c>
      <c r="D11" s="42">
        <v>0.13</v>
      </c>
    </row>
    <row r="12" spans="1:4" ht="12.75">
      <c r="A12" s="36"/>
      <c r="B12" s="38" t="s">
        <v>788</v>
      </c>
      <c r="C12" s="38" t="s">
        <v>707</v>
      </c>
      <c r="D12" s="42">
        <v>0.04</v>
      </c>
    </row>
    <row r="13" spans="1:4" ht="25.5">
      <c r="A13" s="36" t="s">
        <v>712</v>
      </c>
      <c r="B13" s="36" t="s">
        <v>111</v>
      </c>
      <c r="C13" s="38" t="s">
        <v>707</v>
      </c>
      <c r="D13" s="54">
        <f>D14+D15+D16+D17</f>
        <v>2.29</v>
      </c>
    </row>
    <row r="14" spans="1:4" ht="12.75">
      <c r="A14" s="36"/>
      <c r="B14" s="38" t="s">
        <v>713</v>
      </c>
      <c r="C14" s="38" t="s">
        <v>707</v>
      </c>
      <c r="D14" s="42">
        <v>0.77</v>
      </c>
    </row>
    <row r="15" spans="1:4" ht="25.5">
      <c r="A15" s="36"/>
      <c r="B15" s="38" t="s">
        <v>714</v>
      </c>
      <c r="C15" s="38" t="s">
        <v>707</v>
      </c>
      <c r="D15" s="42">
        <v>0.83</v>
      </c>
    </row>
    <row r="16" spans="1:4" ht="12.75">
      <c r="A16" s="36"/>
      <c r="B16" s="38" t="s">
        <v>715</v>
      </c>
      <c r="C16" s="38" t="s">
        <v>707</v>
      </c>
      <c r="D16" s="42">
        <v>0.34</v>
      </c>
    </row>
    <row r="17" spans="1:4" ht="12.75">
      <c r="A17" s="36"/>
      <c r="B17" s="38" t="s">
        <v>716</v>
      </c>
      <c r="C17" s="38" t="s">
        <v>707</v>
      </c>
      <c r="D17" s="42">
        <v>0.35</v>
      </c>
    </row>
    <row r="18" spans="1:4" ht="25.5">
      <c r="A18" s="36" t="s">
        <v>717</v>
      </c>
      <c r="B18" s="36" t="s">
        <v>718</v>
      </c>
      <c r="C18" s="38" t="s">
        <v>719</v>
      </c>
      <c r="D18" s="52">
        <v>1.08</v>
      </c>
    </row>
    <row r="19" spans="1:4" ht="25.5">
      <c r="A19" s="36" t="s">
        <v>720</v>
      </c>
      <c r="B19" s="36" t="s">
        <v>721</v>
      </c>
      <c r="C19" s="38"/>
      <c r="D19" s="53">
        <f>D20+D27+D31+D46</f>
        <v>4.07</v>
      </c>
    </row>
    <row r="20" spans="1:4" ht="12.75">
      <c r="A20" s="36"/>
      <c r="B20" s="36" t="s">
        <v>722</v>
      </c>
      <c r="C20" s="38"/>
      <c r="D20" s="43">
        <v>1.35</v>
      </c>
    </row>
    <row r="21" spans="1:4" ht="38.25">
      <c r="A21" s="36"/>
      <c r="B21" s="38" t="s">
        <v>723</v>
      </c>
      <c r="C21" s="38" t="s">
        <v>724</v>
      </c>
      <c r="D21" s="40">
        <v>0.32</v>
      </c>
    </row>
    <row r="22" spans="1:4" ht="38.25">
      <c r="A22" s="36"/>
      <c r="B22" s="38" t="s">
        <v>725</v>
      </c>
      <c r="C22" s="38" t="s">
        <v>776</v>
      </c>
      <c r="D22" s="40">
        <v>0.52</v>
      </c>
    </row>
    <row r="23" spans="1:4" ht="25.5">
      <c r="A23" s="36"/>
      <c r="B23" s="38" t="s">
        <v>727</v>
      </c>
      <c r="C23" s="38" t="s">
        <v>724</v>
      </c>
      <c r="D23" s="40">
        <v>0.04</v>
      </c>
    </row>
    <row r="24" spans="1:4" ht="25.5">
      <c r="A24" s="36"/>
      <c r="B24" s="38" t="s">
        <v>728</v>
      </c>
      <c r="C24" s="38" t="s">
        <v>729</v>
      </c>
      <c r="D24" s="40">
        <v>0.22</v>
      </c>
    </row>
    <row r="25" spans="1:4" ht="25.5">
      <c r="A25" s="36"/>
      <c r="B25" s="38" t="s">
        <v>730</v>
      </c>
      <c r="C25" s="38" t="s">
        <v>731</v>
      </c>
      <c r="D25" s="40">
        <v>0.22</v>
      </c>
    </row>
    <row r="26" spans="1:4" ht="12.75">
      <c r="A26" s="36"/>
      <c r="B26" s="38" t="s">
        <v>732</v>
      </c>
      <c r="C26" s="38" t="s">
        <v>729</v>
      </c>
      <c r="D26" s="40">
        <v>0.03</v>
      </c>
    </row>
    <row r="27" spans="1:4" ht="12.75">
      <c r="A27" s="36"/>
      <c r="B27" s="36" t="s">
        <v>733</v>
      </c>
      <c r="C27" s="38"/>
      <c r="D27" s="43">
        <f>D28+D29+D30</f>
        <v>0.8</v>
      </c>
    </row>
    <row r="28" spans="1:4" ht="25.5">
      <c r="A28" s="36"/>
      <c r="B28" s="38" t="s">
        <v>734</v>
      </c>
      <c r="C28" s="38" t="s">
        <v>803</v>
      </c>
      <c r="D28" s="40">
        <v>0.55</v>
      </c>
    </row>
    <row r="29" spans="1:4" ht="25.5">
      <c r="A29" s="36"/>
      <c r="B29" s="38" t="s">
        <v>735</v>
      </c>
      <c r="C29" s="38" t="s">
        <v>803</v>
      </c>
      <c r="D29" s="40">
        <v>0.22</v>
      </c>
    </row>
    <row r="30" spans="1:4" ht="38.25">
      <c r="A30" s="36"/>
      <c r="B30" s="38" t="s">
        <v>777</v>
      </c>
      <c r="C30" s="38" t="s">
        <v>731</v>
      </c>
      <c r="D30" s="40">
        <v>0.03</v>
      </c>
    </row>
    <row r="31" spans="1:5" ht="12.75">
      <c r="A31" s="36"/>
      <c r="B31" s="36" t="s">
        <v>736</v>
      </c>
      <c r="C31" s="38"/>
      <c r="D31" s="43">
        <v>1.85</v>
      </c>
      <c r="E31" s="33"/>
    </row>
    <row r="32" spans="1:4" ht="38.25">
      <c r="A32" s="36"/>
      <c r="B32" s="38" t="s">
        <v>737</v>
      </c>
      <c r="C32" s="38" t="s">
        <v>724</v>
      </c>
      <c r="D32" s="48">
        <v>0.37</v>
      </c>
    </row>
    <row r="33" spans="1:4" ht="25.5">
      <c r="A33" s="36"/>
      <c r="B33" s="38" t="s">
        <v>738</v>
      </c>
      <c r="C33" s="38" t="s">
        <v>739</v>
      </c>
      <c r="D33" s="45">
        <v>0.28</v>
      </c>
    </row>
    <row r="34" spans="1:4" ht="25.5">
      <c r="A34" s="36"/>
      <c r="B34" s="38" t="s">
        <v>781</v>
      </c>
      <c r="C34" s="38" t="s">
        <v>783</v>
      </c>
      <c r="D34" s="45">
        <v>0.07</v>
      </c>
    </row>
    <row r="35" spans="1:4" ht="25.5">
      <c r="A35" s="36"/>
      <c r="B35" s="38" t="s">
        <v>780</v>
      </c>
      <c r="C35" s="38" t="s">
        <v>724</v>
      </c>
      <c r="D35" s="45">
        <v>0.02</v>
      </c>
    </row>
    <row r="36" spans="1:4" ht="51">
      <c r="A36" s="36"/>
      <c r="B36" s="38" t="s">
        <v>740</v>
      </c>
      <c r="C36" s="38" t="s">
        <v>724</v>
      </c>
      <c r="D36" s="45">
        <v>0.44</v>
      </c>
    </row>
    <row r="37" spans="1:4" ht="25.5">
      <c r="A37" s="36"/>
      <c r="B37" s="38" t="s">
        <v>741</v>
      </c>
      <c r="C37" s="38" t="s">
        <v>784</v>
      </c>
      <c r="D37" s="45">
        <v>0.11</v>
      </c>
    </row>
    <row r="38" spans="1:4" ht="38.25">
      <c r="A38" s="36"/>
      <c r="B38" s="38" t="s">
        <v>742</v>
      </c>
      <c r="C38" s="38" t="s">
        <v>743</v>
      </c>
      <c r="D38" s="45">
        <v>0.15</v>
      </c>
    </row>
    <row r="39" spans="1:4" ht="38.25">
      <c r="A39" s="36"/>
      <c r="B39" s="38" t="s">
        <v>744</v>
      </c>
      <c r="C39" s="38" t="s">
        <v>743</v>
      </c>
      <c r="D39" s="45">
        <v>0.03</v>
      </c>
    </row>
    <row r="40" spans="1:4" ht="38.25">
      <c r="A40" s="36"/>
      <c r="B40" s="38" t="s">
        <v>343</v>
      </c>
      <c r="C40" s="38" t="s">
        <v>724</v>
      </c>
      <c r="D40" s="45">
        <v>0.05</v>
      </c>
    </row>
    <row r="41" spans="1:4" ht="25.5">
      <c r="A41" s="36"/>
      <c r="B41" s="38" t="s">
        <v>345</v>
      </c>
      <c r="C41" s="38" t="s">
        <v>724</v>
      </c>
      <c r="D41" s="45">
        <v>0.02</v>
      </c>
    </row>
    <row r="42" spans="1:4" ht="25.5">
      <c r="A42" s="36"/>
      <c r="B42" s="38" t="s">
        <v>348</v>
      </c>
      <c r="C42" s="38" t="s">
        <v>724</v>
      </c>
      <c r="D42" s="45">
        <v>0.04</v>
      </c>
    </row>
    <row r="43" spans="1:4" ht="12.75">
      <c r="A43" s="36"/>
      <c r="B43" s="38" t="s">
        <v>786</v>
      </c>
      <c r="C43" s="38" t="s">
        <v>785</v>
      </c>
      <c r="D43" s="45">
        <v>0.04</v>
      </c>
    </row>
    <row r="44" spans="1:4" ht="12.75">
      <c r="A44" s="36"/>
      <c r="B44" s="38" t="s">
        <v>745</v>
      </c>
      <c r="C44" s="38" t="s">
        <v>743</v>
      </c>
      <c r="D44" s="45">
        <v>0.05</v>
      </c>
    </row>
    <row r="45" spans="1:4" ht="24">
      <c r="A45" s="36"/>
      <c r="B45" t="s">
        <v>782</v>
      </c>
      <c r="C45" s="38" t="s">
        <v>743</v>
      </c>
      <c r="D45" s="45">
        <v>0.18</v>
      </c>
    </row>
    <row r="46" spans="1:4" ht="12.75">
      <c r="A46" s="36"/>
      <c r="B46" s="36" t="s">
        <v>746</v>
      </c>
      <c r="C46" s="38" t="s">
        <v>747</v>
      </c>
      <c r="D46" s="49">
        <v>0.07</v>
      </c>
    </row>
    <row r="47" spans="1:4" ht="12.75">
      <c r="A47" s="36" t="s">
        <v>748</v>
      </c>
      <c r="B47" s="36" t="s">
        <v>749</v>
      </c>
      <c r="C47" s="38" t="s">
        <v>726</v>
      </c>
      <c r="D47" s="46">
        <v>0.6</v>
      </c>
    </row>
    <row r="48" spans="1:4" ht="25.5">
      <c r="A48" s="36" t="s">
        <v>750</v>
      </c>
      <c r="B48" s="36" t="s">
        <v>751</v>
      </c>
      <c r="C48" s="38" t="s">
        <v>752</v>
      </c>
      <c r="D48" s="47">
        <v>1.9</v>
      </c>
    </row>
    <row r="49" spans="1:4" ht="12.75">
      <c r="A49" s="36" t="s">
        <v>753</v>
      </c>
      <c r="B49" s="36" t="s">
        <v>754</v>
      </c>
      <c r="C49" s="38" t="s">
        <v>755</v>
      </c>
      <c r="D49" s="47">
        <v>0.2</v>
      </c>
    </row>
    <row r="50" spans="1:4" ht="12.75">
      <c r="A50" s="36" t="s">
        <v>756</v>
      </c>
      <c r="B50" s="36" t="s">
        <v>757</v>
      </c>
      <c r="C50" s="38" t="s">
        <v>743</v>
      </c>
      <c r="D50" s="47">
        <v>0.09</v>
      </c>
    </row>
    <row r="51" spans="1:4" ht="25.5">
      <c r="A51" s="36" t="s">
        <v>758</v>
      </c>
      <c r="B51" s="36" t="s">
        <v>759</v>
      </c>
      <c r="C51" s="38" t="s">
        <v>747</v>
      </c>
      <c r="D51" s="50">
        <v>0.18</v>
      </c>
    </row>
    <row r="52" spans="1:4" ht="12.75">
      <c r="A52" s="36" t="s">
        <v>760</v>
      </c>
      <c r="B52" s="36" t="s">
        <v>761</v>
      </c>
      <c r="C52" s="38" t="s">
        <v>762</v>
      </c>
      <c r="D52" s="50">
        <v>1.15</v>
      </c>
    </row>
    <row r="53" spans="1:4" ht="12.75">
      <c r="A53" s="36" t="s">
        <v>763</v>
      </c>
      <c r="B53" s="39" t="s">
        <v>764</v>
      </c>
      <c r="C53" s="38" t="s">
        <v>755</v>
      </c>
      <c r="D53" s="47">
        <v>0.06</v>
      </c>
    </row>
    <row r="54" spans="1:4" ht="12.75">
      <c r="A54" s="36" t="s">
        <v>765</v>
      </c>
      <c r="B54" s="36" t="s">
        <v>766</v>
      </c>
      <c r="C54" s="38" t="s">
        <v>762</v>
      </c>
      <c r="D54" s="47">
        <v>2.75</v>
      </c>
    </row>
    <row r="55" spans="1:4" ht="12.75">
      <c r="A55" s="36" t="s">
        <v>767</v>
      </c>
      <c r="B55" s="36" t="s">
        <v>768</v>
      </c>
      <c r="C55" s="38"/>
      <c r="D55" s="47">
        <v>1.5</v>
      </c>
    </row>
    <row r="56" spans="1:4" ht="12.75">
      <c r="A56" s="36" t="s">
        <v>769</v>
      </c>
      <c r="B56" s="36" t="s">
        <v>771</v>
      </c>
      <c r="C56" s="38"/>
      <c r="D56" s="47">
        <v>0.95</v>
      </c>
    </row>
    <row r="57" spans="1:4" ht="12.75">
      <c r="A57" s="36"/>
      <c r="B57" s="36" t="s">
        <v>770</v>
      </c>
      <c r="C57" s="38"/>
      <c r="D57" s="51">
        <f>D6+D13+D18+D19+D47+D48+D49+D50+D51+D52+D53+D54+D55+D56</f>
        <v>18.5</v>
      </c>
    </row>
  </sheetData>
  <sheetProtection/>
  <mergeCells count="3">
    <mergeCell ref="B1:D2"/>
    <mergeCell ref="A3:D3"/>
    <mergeCell ref="B4:D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0">
      <selection activeCell="I29" sqref="I29"/>
    </sheetView>
  </sheetViews>
  <sheetFormatPr defaultColWidth="9.140625" defaultRowHeight="12"/>
  <cols>
    <col min="2" max="2" width="36.140625" style="0" customWidth="1"/>
    <col min="3" max="3" width="25.00390625" style="0" customWidth="1"/>
    <col min="4" max="4" width="21.140625" style="0" customWidth="1"/>
  </cols>
  <sheetData>
    <row r="1" spans="1:4" ht="54" customHeight="1">
      <c r="A1" s="55"/>
      <c r="B1" s="86" t="s">
        <v>787</v>
      </c>
      <c r="C1" s="86"/>
      <c r="D1" s="86"/>
    </row>
    <row r="2" spans="1:4" ht="3.75" customHeight="1" hidden="1">
      <c r="A2" s="55"/>
      <c r="B2" s="86"/>
      <c r="C2" s="86"/>
      <c r="D2" s="86"/>
    </row>
    <row r="3" spans="1:4" ht="15.75">
      <c r="A3" s="85" t="s">
        <v>798</v>
      </c>
      <c r="B3" s="85"/>
      <c r="C3" s="85"/>
      <c r="D3" s="85"/>
    </row>
    <row r="4" spans="1:4" ht="15.75">
      <c r="A4" s="56"/>
      <c r="B4" s="89" t="s">
        <v>799</v>
      </c>
      <c r="C4" s="89"/>
      <c r="D4" s="56"/>
    </row>
    <row r="5" spans="1:4" ht="14.25">
      <c r="A5" s="36"/>
      <c r="B5" s="37" t="s">
        <v>2</v>
      </c>
      <c r="C5" s="37" t="s">
        <v>703</v>
      </c>
      <c r="D5" s="37" t="s">
        <v>791</v>
      </c>
    </row>
    <row r="6" spans="1:4" ht="12.75">
      <c r="A6" s="36" t="s">
        <v>705</v>
      </c>
      <c r="B6" s="36" t="s">
        <v>14</v>
      </c>
      <c r="C6" s="38"/>
      <c r="D6" s="54">
        <f>D7+D8+D9+D10+D11+D12</f>
        <v>1.6800000000000002</v>
      </c>
    </row>
    <row r="7" spans="1:4" ht="12.75">
      <c r="A7" s="36"/>
      <c r="B7" s="38" t="s">
        <v>706</v>
      </c>
      <c r="C7" s="38" t="s">
        <v>707</v>
      </c>
      <c r="D7" s="42">
        <v>0.15</v>
      </c>
    </row>
    <row r="8" spans="1:4" ht="12.75">
      <c r="A8" s="36"/>
      <c r="B8" s="38" t="s">
        <v>708</v>
      </c>
      <c r="C8" s="38" t="s">
        <v>707</v>
      </c>
      <c r="D8" s="42">
        <v>0.61</v>
      </c>
    </row>
    <row r="9" spans="1:4" ht="12.75">
      <c r="A9" s="36"/>
      <c r="B9" s="38" t="s">
        <v>709</v>
      </c>
      <c r="C9" s="38" t="s">
        <v>707</v>
      </c>
      <c r="D9" s="42">
        <v>0.51</v>
      </c>
    </row>
    <row r="10" spans="1:4" ht="12.75">
      <c r="A10" s="36"/>
      <c r="B10" s="38" t="s">
        <v>710</v>
      </c>
      <c r="C10" s="38" t="s">
        <v>707</v>
      </c>
      <c r="D10" s="42">
        <v>0.24</v>
      </c>
    </row>
    <row r="11" spans="1:4" ht="12.75">
      <c r="A11" s="36"/>
      <c r="B11" s="38" t="s">
        <v>711</v>
      </c>
      <c r="C11" s="38" t="s">
        <v>707</v>
      </c>
      <c r="D11" s="42">
        <v>0.13</v>
      </c>
    </row>
    <row r="12" spans="1:4" ht="12.75">
      <c r="A12" s="36"/>
      <c r="B12" s="38" t="s">
        <v>788</v>
      </c>
      <c r="C12" s="38" t="s">
        <v>707</v>
      </c>
      <c r="D12" s="42">
        <v>0.04</v>
      </c>
    </row>
    <row r="13" spans="1:4" ht="25.5">
      <c r="A13" s="36" t="s">
        <v>712</v>
      </c>
      <c r="B13" s="36" t="s">
        <v>111</v>
      </c>
      <c r="C13" s="38" t="s">
        <v>707</v>
      </c>
      <c r="D13" s="54">
        <f>D14+D15+D16+D17</f>
        <v>2.29</v>
      </c>
    </row>
    <row r="14" spans="1:4" ht="12.75">
      <c r="A14" s="36"/>
      <c r="B14" s="38" t="s">
        <v>713</v>
      </c>
      <c r="C14" s="38" t="s">
        <v>707</v>
      </c>
      <c r="D14" s="42">
        <v>0.77</v>
      </c>
    </row>
    <row r="15" spans="1:4" ht="25.5">
      <c r="A15" s="36"/>
      <c r="B15" s="38" t="s">
        <v>714</v>
      </c>
      <c r="C15" s="38" t="s">
        <v>707</v>
      </c>
      <c r="D15" s="42">
        <v>0.83</v>
      </c>
    </row>
    <row r="16" spans="1:4" ht="12.75">
      <c r="A16" s="36"/>
      <c r="B16" s="38" t="s">
        <v>715</v>
      </c>
      <c r="C16" s="38" t="s">
        <v>707</v>
      </c>
      <c r="D16" s="42">
        <v>0.34</v>
      </c>
    </row>
    <row r="17" spans="1:4" ht="12.75">
      <c r="A17" s="36"/>
      <c r="B17" s="38" t="s">
        <v>716</v>
      </c>
      <c r="C17" s="38" t="s">
        <v>707</v>
      </c>
      <c r="D17" s="42">
        <v>0.35</v>
      </c>
    </row>
    <row r="18" spans="1:4" ht="25.5">
      <c r="A18" s="36" t="s">
        <v>717</v>
      </c>
      <c r="B18" s="36" t="s">
        <v>718</v>
      </c>
      <c r="C18" s="38" t="s">
        <v>719</v>
      </c>
      <c r="D18" s="52">
        <v>1.08</v>
      </c>
    </row>
    <row r="19" spans="1:4" ht="25.5">
      <c r="A19" s="36" t="s">
        <v>720</v>
      </c>
      <c r="B19" s="36" t="s">
        <v>721</v>
      </c>
      <c r="C19" s="38"/>
      <c r="D19" s="53">
        <f>D20+D27+D31+D46</f>
        <v>3.7199999999999998</v>
      </c>
    </row>
    <row r="20" spans="1:4" ht="12.75">
      <c r="A20" s="36"/>
      <c r="B20" s="36" t="s">
        <v>722</v>
      </c>
      <c r="C20" s="38"/>
      <c r="D20" s="43">
        <f>D21+D22+D23+D24+D25+D26</f>
        <v>1.5000000000000002</v>
      </c>
    </row>
    <row r="21" spans="1:4" ht="38.25">
      <c r="A21" s="36"/>
      <c r="B21" s="38" t="s">
        <v>723</v>
      </c>
      <c r="C21" s="38" t="s">
        <v>724</v>
      </c>
      <c r="D21" s="40">
        <v>0.32</v>
      </c>
    </row>
    <row r="22" spans="1:4" ht="38.25">
      <c r="A22" s="36"/>
      <c r="B22" s="38" t="s">
        <v>725</v>
      </c>
      <c r="C22" s="38" t="s">
        <v>776</v>
      </c>
      <c r="D22" s="40">
        <v>0.52</v>
      </c>
    </row>
    <row r="23" spans="1:4" ht="25.5">
      <c r="A23" s="36"/>
      <c r="B23" s="38" t="s">
        <v>727</v>
      </c>
      <c r="C23" s="38" t="s">
        <v>724</v>
      </c>
      <c r="D23" s="40">
        <v>0.12</v>
      </c>
    </row>
    <row r="24" spans="1:4" ht="25.5">
      <c r="A24" s="36"/>
      <c r="B24" s="38" t="s">
        <v>728</v>
      </c>
      <c r="C24" s="38" t="s">
        <v>729</v>
      </c>
      <c r="D24" s="40">
        <v>0.22</v>
      </c>
    </row>
    <row r="25" spans="1:4" ht="25.5">
      <c r="A25" s="36"/>
      <c r="B25" s="38" t="s">
        <v>730</v>
      </c>
      <c r="C25" s="38" t="s">
        <v>731</v>
      </c>
      <c r="D25" s="40">
        <v>0.22</v>
      </c>
    </row>
    <row r="26" spans="1:4" ht="12.75">
      <c r="A26" s="36"/>
      <c r="B26" s="38" t="s">
        <v>732</v>
      </c>
      <c r="C26" s="38" t="s">
        <v>729</v>
      </c>
      <c r="D26" s="40">
        <v>0.1</v>
      </c>
    </row>
    <row r="27" spans="1:4" ht="12.75">
      <c r="A27" s="36"/>
      <c r="B27" s="36" t="s">
        <v>733</v>
      </c>
      <c r="C27" s="38"/>
      <c r="D27" s="43">
        <v>0</v>
      </c>
    </row>
    <row r="28" spans="1:4" ht="25.5">
      <c r="A28" s="36"/>
      <c r="B28" s="38" t="s">
        <v>734</v>
      </c>
      <c r="C28" s="38" t="s">
        <v>803</v>
      </c>
      <c r="D28" s="40">
        <v>0</v>
      </c>
    </row>
    <row r="29" spans="1:4" ht="25.5">
      <c r="A29" s="36"/>
      <c r="B29" s="38" t="s">
        <v>735</v>
      </c>
      <c r="C29" s="38" t="s">
        <v>803</v>
      </c>
      <c r="D29" s="40">
        <v>0</v>
      </c>
    </row>
    <row r="30" spans="1:4" ht="38.25">
      <c r="A30" s="36"/>
      <c r="B30" s="38" t="s">
        <v>777</v>
      </c>
      <c r="C30" s="38" t="s">
        <v>731</v>
      </c>
      <c r="D30" s="40">
        <v>0</v>
      </c>
    </row>
    <row r="31" spans="1:4" ht="12.75">
      <c r="A31" s="36"/>
      <c r="B31" s="36" t="s">
        <v>736</v>
      </c>
      <c r="C31" s="38"/>
      <c r="D31" s="43">
        <v>2.05</v>
      </c>
    </row>
    <row r="32" spans="1:4" ht="38.25">
      <c r="A32" s="36"/>
      <c r="B32" s="38" t="s">
        <v>737</v>
      </c>
      <c r="C32" s="38" t="s">
        <v>724</v>
      </c>
      <c r="D32" s="48">
        <v>0.47</v>
      </c>
    </row>
    <row r="33" spans="1:4" ht="25.5">
      <c r="A33" s="36"/>
      <c r="B33" s="38" t="s">
        <v>738</v>
      </c>
      <c r="C33" s="38" t="s">
        <v>739</v>
      </c>
      <c r="D33" s="45">
        <v>0.38</v>
      </c>
    </row>
    <row r="34" spans="1:4" ht="25.5">
      <c r="A34" s="36"/>
      <c r="B34" s="38" t="s">
        <v>781</v>
      </c>
      <c r="C34" s="38" t="s">
        <v>783</v>
      </c>
      <c r="D34" s="45">
        <v>0.07</v>
      </c>
    </row>
    <row r="35" spans="1:4" ht="25.5">
      <c r="A35" s="36"/>
      <c r="B35" s="38" t="s">
        <v>780</v>
      </c>
      <c r="C35" s="38" t="s">
        <v>724</v>
      </c>
      <c r="D35" s="45">
        <v>0.02</v>
      </c>
    </row>
    <row r="36" spans="1:4" ht="51">
      <c r="A36" s="36"/>
      <c r="B36" s="38" t="s">
        <v>740</v>
      </c>
      <c r="C36" s="38" t="s">
        <v>724</v>
      </c>
      <c r="D36" s="45">
        <v>0.44</v>
      </c>
    </row>
    <row r="37" spans="1:4" ht="25.5">
      <c r="A37" s="36"/>
      <c r="B37" s="38" t="s">
        <v>741</v>
      </c>
      <c r="C37" s="38" t="s">
        <v>784</v>
      </c>
      <c r="D37" s="45">
        <v>0.11</v>
      </c>
    </row>
    <row r="38" spans="1:4" ht="38.25">
      <c r="A38" s="36"/>
      <c r="B38" s="38" t="s">
        <v>742</v>
      </c>
      <c r="C38" s="38" t="s">
        <v>743</v>
      </c>
      <c r="D38" s="45">
        <v>0.15</v>
      </c>
    </row>
    <row r="39" spans="1:4" ht="25.5">
      <c r="A39" s="36"/>
      <c r="B39" s="38" t="s">
        <v>744</v>
      </c>
      <c r="C39" s="38" t="s">
        <v>743</v>
      </c>
      <c r="D39" s="45">
        <v>0.03</v>
      </c>
    </row>
    <row r="40" spans="1:4" ht="25.5">
      <c r="A40" s="36"/>
      <c r="B40" s="38" t="s">
        <v>343</v>
      </c>
      <c r="C40" s="38" t="s">
        <v>724</v>
      </c>
      <c r="D40" s="45">
        <v>0.05</v>
      </c>
    </row>
    <row r="41" spans="1:4" ht="25.5">
      <c r="A41" s="36"/>
      <c r="B41" s="38" t="s">
        <v>345</v>
      </c>
      <c r="C41" s="38" t="s">
        <v>724</v>
      </c>
      <c r="D41" s="45">
        <v>0.02</v>
      </c>
    </row>
    <row r="42" spans="1:4" ht="25.5">
      <c r="A42" s="36"/>
      <c r="B42" s="38" t="s">
        <v>348</v>
      </c>
      <c r="C42" s="38" t="s">
        <v>724</v>
      </c>
      <c r="D42" s="45">
        <v>0.04</v>
      </c>
    </row>
    <row r="43" spans="1:4" ht="12.75">
      <c r="A43" s="36"/>
      <c r="B43" s="38" t="s">
        <v>786</v>
      </c>
      <c r="C43" s="38" t="s">
        <v>785</v>
      </c>
      <c r="D43" s="45">
        <v>0.04</v>
      </c>
    </row>
    <row r="44" spans="1:4" ht="12.75">
      <c r="A44" s="36"/>
      <c r="B44" s="38" t="s">
        <v>745</v>
      </c>
      <c r="C44" s="38" t="s">
        <v>743</v>
      </c>
      <c r="D44" s="45">
        <v>0.05</v>
      </c>
    </row>
    <row r="45" spans="1:4" ht="24">
      <c r="A45" s="36"/>
      <c r="B45" t="s">
        <v>782</v>
      </c>
      <c r="C45" s="38" t="s">
        <v>743</v>
      </c>
      <c r="D45" s="45">
        <v>0.18</v>
      </c>
    </row>
    <row r="46" spans="1:4" ht="12.75">
      <c r="A46" s="36"/>
      <c r="B46" s="36" t="s">
        <v>746</v>
      </c>
      <c r="C46" s="38" t="s">
        <v>747</v>
      </c>
      <c r="D46" s="49">
        <v>0.17</v>
      </c>
    </row>
    <row r="47" spans="1:4" ht="12.75">
      <c r="A47" s="36" t="s">
        <v>748</v>
      </c>
      <c r="B47" s="36" t="s">
        <v>749</v>
      </c>
      <c r="C47" s="38" t="s">
        <v>726</v>
      </c>
      <c r="D47" s="46">
        <v>0.6</v>
      </c>
    </row>
    <row r="48" spans="1:4" ht="25.5">
      <c r="A48" s="36" t="s">
        <v>750</v>
      </c>
      <c r="B48" s="36" t="s">
        <v>751</v>
      </c>
      <c r="C48" s="38" t="s">
        <v>752</v>
      </c>
      <c r="D48" s="47">
        <v>1.9</v>
      </c>
    </row>
    <row r="49" spans="1:4" ht="12.75">
      <c r="A49" s="36" t="s">
        <v>753</v>
      </c>
      <c r="B49" s="36" t="s">
        <v>754</v>
      </c>
      <c r="C49" s="38" t="s">
        <v>755</v>
      </c>
      <c r="D49" s="47">
        <v>0.2</v>
      </c>
    </row>
    <row r="50" spans="1:4" ht="12.75">
      <c r="A50" s="36" t="s">
        <v>756</v>
      </c>
      <c r="B50" s="36" t="s">
        <v>757</v>
      </c>
      <c r="C50" s="38" t="s">
        <v>743</v>
      </c>
      <c r="D50" s="47">
        <v>0.09</v>
      </c>
    </row>
    <row r="51" spans="1:4" ht="25.5">
      <c r="A51" s="36" t="s">
        <v>758</v>
      </c>
      <c r="B51" s="36" t="s">
        <v>759</v>
      </c>
      <c r="C51" s="38" t="s">
        <v>747</v>
      </c>
      <c r="D51" s="50">
        <v>0.18</v>
      </c>
    </row>
    <row r="52" spans="1:4" ht="12.75">
      <c r="A52" s="36" t="s">
        <v>760</v>
      </c>
      <c r="B52" s="36" t="s">
        <v>761</v>
      </c>
      <c r="C52" s="38" t="s">
        <v>762</v>
      </c>
      <c r="D52" s="50">
        <v>1.15</v>
      </c>
    </row>
    <row r="53" spans="1:4" ht="12.75">
      <c r="A53" s="36" t="s">
        <v>763</v>
      </c>
      <c r="B53" s="39" t="s">
        <v>764</v>
      </c>
      <c r="C53" s="38" t="s">
        <v>755</v>
      </c>
      <c r="D53" s="47">
        <v>0.06</v>
      </c>
    </row>
    <row r="54" spans="1:4" ht="12.75">
      <c r="A54" s="36" t="s">
        <v>765</v>
      </c>
      <c r="B54" s="36" t="s">
        <v>766</v>
      </c>
      <c r="C54" s="38" t="s">
        <v>762</v>
      </c>
      <c r="D54" s="47">
        <v>3.05</v>
      </c>
    </row>
    <row r="55" spans="1:4" ht="12.75">
      <c r="A55" s="36" t="s">
        <v>767</v>
      </c>
      <c r="B55" s="36" t="s">
        <v>768</v>
      </c>
      <c r="C55" s="38"/>
      <c r="D55" s="47">
        <v>1.6</v>
      </c>
    </row>
    <row r="56" spans="1:4" ht="12.75">
      <c r="A56" s="36" t="s">
        <v>769</v>
      </c>
      <c r="B56" s="36" t="s">
        <v>771</v>
      </c>
      <c r="C56" s="38"/>
      <c r="D56" s="47">
        <v>0.95</v>
      </c>
    </row>
    <row r="57" spans="1:4" ht="12.75">
      <c r="A57" s="36"/>
      <c r="B57" s="36" t="s">
        <v>770</v>
      </c>
      <c r="C57" s="38"/>
      <c r="D57" s="51">
        <f>D6+D13+D18+D19+D47+D48+D49+D50+D51+D52+D53+D54+D55+D56</f>
        <v>18.55</v>
      </c>
    </row>
  </sheetData>
  <sheetProtection/>
  <mergeCells count="3">
    <mergeCell ref="B1:D2"/>
    <mergeCell ref="A3:D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">
      <selection activeCell="A3" sqref="A3:D4"/>
    </sheetView>
  </sheetViews>
  <sheetFormatPr defaultColWidth="9.140625" defaultRowHeight="12"/>
  <cols>
    <col min="2" max="2" width="36.7109375" style="0" customWidth="1"/>
    <col min="3" max="3" width="26.28125" style="0" customWidth="1"/>
  </cols>
  <sheetData>
    <row r="1" spans="1:4" ht="15.75" customHeight="1">
      <c r="A1" s="55"/>
      <c r="B1" s="86" t="s">
        <v>787</v>
      </c>
      <c r="C1" s="86"/>
      <c r="D1" s="86"/>
    </row>
    <row r="2" spans="1:4" ht="20.25" customHeight="1">
      <c r="A2" s="55"/>
      <c r="B2" s="86"/>
      <c r="C2" s="86"/>
      <c r="D2" s="86"/>
    </row>
    <row r="3" spans="1:4" ht="34.5" customHeight="1">
      <c r="A3" s="85" t="s">
        <v>800</v>
      </c>
      <c r="B3" s="85"/>
      <c r="C3" s="85"/>
      <c r="D3" s="85"/>
    </row>
    <row r="4" spans="1:4" ht="49.5" customHeight="1">
      <c r="A4" s="61"/>
      <c r="B4" s="87" t="s">
        <v>802</v>
      </c>
      <c r="C4" s="87"/>
      <c r="D4" s="87"/>
    </row>
    <row r="5" spans="1:4" ht="12.75">
      <c r="A5" s="36" t="s">
        <v>705</v>
      </c>
      <c r="B5" s="36" t="s">
        <v>14</v>
      </c>
      <c r="C5" s="38"/>
      <c r="D5" s="54">
        <f>D6+D7+D8+D9+D10+D11</f>
        <v>1.6800000000000002</v>
      </c>
    </row>
    <row r="6" spans="1:4" ht="12.75">
      <c r="A6" s="36"/>
      <c r="B6" s="38" t="s">
        <v>706</v>
      </c>
      <c r="C6" s="38" t="s">
        <v>707</v>
      </c>
      <c r="D6" s="42">
        <v>0.15</v>
      </c>
    </row>
    <row r="7" spans="1:4" ht="12.75">
      <c r="A7" s="36"/>
      <c r="B7" s="38" t="s">
        <v>708</v>
      </c>
      <c r="C7" s="38" t="s">
        <v>707</v>
      </c>
      <c r="D7" s="42">
        <v>0.61</v>
      </c>
    </row>
    <row r="8" spans="1:4" ht="12.75">
      <c r="A8" s="36"/>
      <c r="B8" s="38" t="s">
        <v>709</v>
      </c>
      <c r="C8" s="38" t="s">
        <v>707</v>
      </c>
      <c r="D8" s="42">
        <v>0.51</v>
      </c>
    </row>
    <row r="9" spans="1:4" ht="12.75">
      <c r="A9" s="36"/>
      <c r="B9" s="38" t="s">
        <v>710</v>
      </c>
      <c r="C9" s="38" t="s">
        <v>707</v>
      </c>
      <c r="D9" s="42">
        <v>0.24</v>
      </c>
    </row>
    <row r="10" spans="1:4" ht="12.75">
      <c r="A10" s="36"/>
      <c r="B10" s="38" t="s">
        <v>711</v>
      </c>
      <c r="C10" s="38" t="s">
        <v>707</v>
      </c>
      <c r="D10" s="42">
        <v>0.13</v>
      </c>
    </row>
    <row r="11" spans="1:4" ht="12.75">
      <c r="A11" s="36"/>
      <c r="B11" s="38" t="s">
        <v>789</v>
      </c>
      <c r="C11" s="38" t="s">
        <v>707</v>
      </c>
      <c r="D11" s="42">
        <v>0.04</v>
      </c>
    </row>
    <row r="12" spans="1:4" ht="25.5">
      <c r="A12" s="36" t="s">
        <v>712</v>
      </c>
      <c r="B12" s="36" t="s">
        <v>111</v>
      </c>
      <c r="C12" s="38" t="s">
        <v>707</v>
      </c>
      <c r="D12" s="54">
        <f>D13+D14+D15+D16</f>
        <v>2.29</v>
      </c>
    </row>
    <row r="13" spans="1:4" ht="12.75">
      <c r="A13" s="36"/>
      <c r="B13" s="38" t="s">
        <v>713</v>
      </c>
      <c r="C13" s="38" t="s">
        <v>707</v>
      </c>
      <c r="D13" s="42">
        <v>0.77</v>
      </c>
    </row>
    <row r="14" spans="1:4" ht="25.5">
      <c r="A14" s="36"/>
      <c r="B14" s="38" t="s">
        <v>714</v>
      </c>
      <c r="C14" s="38" t="s">
        <v>707</v>
      </c>
      <c r="D14" s="42">
        <v>0.83</v>
      </c>
    </row>
    <row r="15" spans="1:4" ht="12.75">
      <c r="A15" s="36"/>
      <c r="B15" s="38" t="s">
        <v>715</v>
      </c>
      <c r="C15" s="38" t="s">
        <v>707</v>
      </c>
      <c r="D15" s="42">
        <v>0.34</v>
      </c>
    </row>
    <row r="16" spans="1:4" ht="12.75">
      <c r="A16" s="36"/>
      <c r="B16" s="38" t="s">
        <v>716</v>
      </c>
      <c r="C16" s="38" t="s">
        <v>707</v>
      </c>
      <c r="D16" s="42">
        <v>0.35</v>
      </c>
    </row>
    <row r="17" spans="1:4" ht="25.5">
      <c r="A17" s="36" t="s">
        <v>717</v>
      </c>
      <c r="B17" s="36" t="s">
        <v>718</v>
      </c>
      <c r="C17" s="38" t="s">
        <v>719</v>
      </c>
      <c r="D17" s="52">
        <v>1.08</v>
      </c>
    </row>
    <row r="18" spans="1:4" ht="25.5">
      <c r="A18" s="36" t="s">
        <v>720</v>
      </c>
      <c r="B18" s="36" t="s">
        <v>721</v>
      </c>
      <c r="C18" s="38"/>
      <c r="D18" s="53">
        <f>D19+D26+D30+D45</f>
        <v>3.57</v>
      </c>
    </row>
    <row r="19" spans="1:4" ht="12.75">
      <c r="A19" s="36"/>
      <c r="B19" s="36" t="s">
        <v>722</v>
      </c>
      <c r="C19" s="38"/>
      <c r="D19" s="43">
        <f>D20+D21+D22+D23+D24+D25</f>
        <v>1.35</v>
      </c>
    </row>
    <row r="20" spans="1:4" ht="38.25">
      <c r="A20" s="36"/>
      <c r="B20" s="38" t="s">
        <v>723</v>
      </c>
      <c r="C20" s="38" t="s">
        <v>724</v>
      </c>
      <c r="D20" s="40">
        <v>0.32</v>
      </c>
    </row>
    <row r="21" spans="1:4" ht="38.25">
      <c r="A21" s="36"/>
      <c r="B21" s="38" t="s">
        <v>725</v>
      </c>
      <c r="C21" s="38" t="s">
        <v>776</v>
      </c>
      <c r="D21" s="40">
        <v>0.52</v>
      </c>
    </row>
    <row r="22" spans="1:4" ht="25.5">
      <c r="A22" s="36"/>
      <c r="B22" s="38" t="s">
        <v>727</v>
      </c>
      <c r="C22" s="38" t="s">
        <v>724</v>
      </c>
      <c r="D22" s="40">
        <v>0.04</v>
      </c>
    </row>
    <row r="23" spans="1:4" ht="25.5">
      <c r="A23" s="36"/>
      <c r="B23" s="38" t="s">
        <v>728</v>
      </c>
      <c r="C23" s="38" t="s">
        <v>729</v>
      </c>
      <c r="D23" s="40">
        <v>0.22</v>
      </c>
    </row>
    <row r="24" spans="1:4" ht="25.5">
      <c r="A24" s="36"/>
      <c r="B24" s="38" t="s">
        <v>730</v>
      </c>
      <c r="C24" s="38" t="s">
        <v>731</v>
      </c>
      <c r="D24" s="40">
        <v>0.22</v>
      </c>
    </row>
    <row r="25" spans="1:4" ht="12.75">
      <c r="A25" s="36"/>
      <c r="B25" s="38" t="s">
        <v>732</v>
      </c>
      <c r="C25" s="38" t="s">
        <v>729</v>
      </c>
      <c r="D25" s="40">
        <v>0.03</v>
      </c>
    </row>
    <row r="26" spans="1:4" ht="12.75">
      <c r="A26" s="36"/>
      <c r="B26" s="36" t="s">
        <v>733</v>
      </c>
      <c r="C26" s="38"/>
      <c r="D26" s="43">
        <v>0</v>
      </c>
    </row>
    <row r="27" spans="1:4" ht="25.5">
      <c r="A27" s="36"/>
      <c r="B27" s="38" t="s">
        <v>734</v>
      </c>
      <c r="C27" s="38" t="s">
        <v>803</v>
      </c>
      <c r="D27" s="40">
        <v>0</v>
      </c>
    </row>
    <row r="28" spans="1:4" ht="25.5">
      <c r="A28" s="36"/>
      <c r="B28" s="38" t="s">
        <v>735</v>
      </c>
      <c r="C28" s="38" t="s">
        <v>803</v>
      </c>
      <c r="D28" s="40">
        <v>0</v>
      </c>
    </row>
    <row r="29" spans="1:4" ht="25.5">
      <c r="A29" s="36"/>
      <c r="B29" s="38" t="s">
        <v>777</v>
      </c>
      <c r="C29" s="38" t="s">
        <v>731</v>
      </c>
      <c r="D29" s="40">
        <v>0</v>
      </c>
    </row>
    <row r="30" spans="1:4" ht="12.75">
      <c r="A30" s="36"/>
      <c r="B30" s="36" t="s">
        <v>736</v>
      </c>
      <c r="C30" s="38"/>
      <c r="D30" s="43">
        <v>2.05</v>
      </c>
    </row>
    <row r="31" spans="1:4" ht="38.25">
      <c r="A31" s="36"/>
      <c r="B31" s="38" t="s">
        <v>737</v>
      </c>
      <c r="C31" s="38" t="s">
        <v>724</v>
      </c>
      <c r="D31" s="48">
        <v>0.47</v>
      </c>
    </row>
    <row r="32" spans="1:4" ht="25.5">
      <c r="A32" s="36"/>
      <c r="B32" s="38" t="s">
        <v>738</v>
      </c>
      <c r="C32" s="38" t="s">
        <v>739</v>
      </c>
      <c r="D32" s="45">
        <v>0.38</v>
      </c>
    </row>
    <row r="33" spans="1:4" ht="25.5">
      <c r="A33" s="36"/>
      <c r="B33" s="38" t="s">
        <v>781</v>
      </c>
      <c r="C33" s="38" t="s">
        <v>783</v>
      </c>
      <c r="D33" s="45">
        <v>0.07</v>
      </c>
    </row>
    <row r="34" spans="1:4" ht="25.5">
      <c r="A34" s="36"/>
      <c r="B34" s="38" t="s">
        <v>780</v>
      </c>
      <c r="C34" s="38" t="s">
        <v>724</v>
      </c>
      <c r="D34" s="45">
        <v>0.02</v>
      </c>
    </row>
    <row r="35" spans="1:4" ht="51">
      <c r="A35" s="36"/>
      <c r="B35" s="38" t="s">
        <v>740</v>
      </c>
      <c r="C35" s="38" t="s">
        <v>724</v>
      </c>
      <c r="D35" s="45">
        <v>0.44</v>
      </c>
    </row>
    <row r="36" spans="1:4" ht="25.5">
      <c r="A36" s="36"/>
      <c r="B36" s="38" t="s">
        <v>741</v>
      </c>
      <c r="C36" s="38" t="s">
        <v>784</v>
      </c>
      <c r="D36" s="45">
        <v>0.11</v>
      </c>
    </row>
    <row r="37" spans="1:4" ht="38.25">
      <c r="A37" s="36"/>
      <c r="B37" s="38" t="s">
        <v>742</v>
      </c>
      <c r="C37" s="38" t="s">
        <v>743</v>
      </c>
      <c r="D37" s="45">
        <v>0.15</v>
      </c>
    </row>
    <row r="38" spans="1:4" ht="25.5">
      <c r="A38" s="36"/>
      <c r="B38" s="38" t="s">
        <v>744</v>
      </c>
      <c r="C38" s="38" t="s">
        <v>743</v>
      </c>
      <c r="D38" s="45">
        <v>0.03</v>
      </c>
    </row>
    <row r="39" spans="1:4" ht="25.5">
      <c r="A39" s="36"/>
      <c r="B39" s="38" t="s">
        <v>343</v>
      </c>
      <c r="C39" s="38" t="s">
        <v>724</v>
      </c>
      <c r="D39" s="45">
        <v>0.05</v>
      </c>
    </row>
    <row r="40" spans="1:4" ht="25.5">
      <c r="A40" s="36"/>
      <c r="B40" s="38" t="s">
        <v>345</v>
      </c>
      <c r="C40" s="38" t="s">
        <v>724</v>
      </c>
      <c r="D40" s="45">
        <v>0.02</v>
      </c>
    </row>
    <row r="41" spans="1:4" ht="25.5">
      <c r="A41" s="36"/>
      <c r="B41" s="38" t="s">
        <v>348</v>
      </c>
      <c r="C41" s="38" t="s">
        <v>724</v>
      </c>
      <c r="D41" s="45">
        <v>0.04</v>
      </c>
    </row>
    <row r="42" spans="1:4" ht="12.75">
      <c r="A42" s="36"/>
      <c r="B42" s="38" t="s">
        <v>786</v>
      </c>
      <c r="C42" s="38" t="s">
        <v>785</v>
      </c>
      <c r="D42" s="45">
        <v>0.04</v>
      </c>
    </row>
    <row r="43" spans="1:4" ht="12.75">
      <c r="A43" s="36"/>
      <c r="B43" s="38" t="s">
        <v>745</v>
      </c>
      <c r="C43" s="38" t="s">
        <v>743</v>
      </c>
      <c r="D43" s="45">
        <v>0.05</v>
      </c>
    </row>
    <row r="44" spans="1:4" ht="12.75">
      <c r="A44" s="36"/>
      <c r="B44" t="s">
        <v>782</v>
      </c>
      <c r="C44" s="38" t="s">
        <v>743</v>
      </c>
      <c r="D44" s="45">
        <v>0.18</v>
      </c>
    </row>
    <row r="45" spans="1:4" ht="12.75">
      <c r="A45" s="36"/>
      <c r="B45" s="36" t="s">
        <v>746</v>
      </c>
      <c r="C45" s="38" t="s">
        <v>747</v>
      </c>
      <c r="D45" s="49">
        <v>0.17</v>
      </c>
    </row>
    <row r="46" spans="1:4" ht="12.75">
      <c r="A46" s="36" t="s">
        <v>748</v>
      </c>
      <c r="B46" s="36" t="s">
        <v>749</v>
      </c>
      <c r="C46" s="38" t="s">
        <v>726</v>
      </c>
      <c r="D46" s="46">
        <v>0.6</v>
      </c>
    </row>
    <row r="47" spans="1:4" ht="25.5">
      <c r="A47" s="36" t="s">
        <v>750</v>
      </c>
      <c r="B47" s="36" t="s">
        <v>751</v>
      </c>
      <c r="C47" s="38" t="s">
        <v>752</v>
      </c>
      <c r="D47" s="47">
        <v>1.9</v>
      </c>
    </row>
    <row r="48" spans="1:4" ht="12.75">
      <c r="A48" s="36" t="s">
        <v>753</v>
      </c>
      <c r="B48" s="36" t="s">
        <v>754</v>
      </c>
      <c r="C48" s="38" t="s">
        <v>755</v>
      </c>
      <c r="D48" s="47">
        <v>0.2</v>
      </c>
    </row>
    <row r="49" spans="1:4" ht="12.75">
      <c r="A49" s="36" t="s">
        <v>756</v>
      </c>
      <c r="B49" s="36" t="s">
        <v>757</v>
      </c>
      <c r="C49" s="38" t="s">
        <v>743</v>
      </c>
      <c r="D49" s="47">
        <v>0.09</v>
      </c>
    </row>
    <row r="50" spans="1:4" ht="25.5">
      <c r="A50" s="36" t="s">
        <v>758</v>
      </c>
      <c r="B50" s="36" t="s">
        <v>759</v>
      </c>
      <c r="C50" s="38" t="s">
        <v>747</v>
      </c>
      <c r="D50" s="50">
        <v>0.18</v>
      </c>
    </row>
    <row r="51" spans="1:4" ht="12.75">
      <c r="A51" s="36" t="s">
        <v>760</v>
      </c>
      <c r="B51" s="36" t="s">
        <v>761</v>
      </c>
      <c r="C51" s="38" t="s">
        <v>762</v>
      </c>
      <c r="D51" s="50">
        <v>1.15</v>
      </c>
    </row>
    <row r="52" spans="1:4" ht="12.75">
      <c r="A52" s="36" t="s">
        <v>763</v>
      </c>
      <c r="B52" s="39" t="s">
        <v>764</v>
      </c>
      <c r="C52" s="38" t="s">
        <v>755</v>
      </c>
      <c r="D52" s="47">
        <v>0.06</v>
      </c>
    </row>
    <row r="53" spans="1:4" ht="12.75">
      <c r="A53" s="36" t="s">
        <v>765</v>
      </c>
      <c r="B53" s="36" t="s">
        <v>766</v>
      </c>
      <c r="C53" s="38" t="s">
        <v>762</v>
      </c>
      <c r="D53" s="47">
        <v>2.75</v>
      </c>
    </row>
    <row r="54" spans="1:4" ht="12.75">
      <c r="A54" s="36" t="s">
        <v>767</v>
      </c>
      <c r="B54" s="36" t="s">
        <v>768</v>
      </c>
      <c r="C54" s="38"/>
      <c r="D54" s="47">
        <v>1.6</v>
      </c>
    </row>
    <row r="55" spans="1:4" ht="12.75">
      <c r="A55" s="36" t="s">
        <v>769</v>
      </c>
      <c r="B55" s="36" t="s">
        <v>771</v>
      </c>
      <c r="C55" s="38"/>
      <c r="D55" s="47">
        <v>0.95</v>
      </c>
    </row>
    <row r="56" spans="1:4" ht="12.75">
      <c r="A56" s="36"/>
      <c r="B56" s="36" t="s">
        <v>770</v>
      </c>
      <c r="C56" s="38"/>
      <c r="D56" s="51">
        <f>D5+D12+D17+D18+D46+D47+D48+D49+D50+D51+D52+D53+D54+D55</f>
        <v>18.1</v>
      </c>
    </row>
  </sheetData>
  <sheetProtection/>
  <mergeCells count="3">
    <mergeCell ref="A3:D3"/>
    <mergeCell ref="B1:D2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F4" sqref="F4"/>
    </sheetView>
  </sheetViews>
  <sheetFormatPr defaultColWidth="9.140625" defaultRowHeight="12"/>
  <cols>
    <col min="1" max="1" width="4.140625" style="0" customWidth="1"/>
    <col min="2" max="2" width="36.140625" style="0" customWidth="1"/>
    <col min="3" max="3" width="27.28125" style="0" customWidth="1"/>
    <col min="4" max="4" width="12.140625" style="0" customWidth="1"/>
  </cols>
  <sheetData>
    <row r="1" spans="1:4" ht="46.5" customHeight="1">
      <c r="A1" s="55"/>
      <c r="B1" s="86" t="s">
        <v>787</v>
      </c>
      <c r="C1" s="86"/>
      <c r="D1" s="86"/>
    </row>
    <row r="2" spans="1:4" ht="6" customHeight="1">
      <c r="A2" s="55"/>
      <c r="B2" s="86"/>
      <c r="C2" s="86"/>
      <c r="D2" s="86"/>
    </row>
    <row r="3" spans="1:4" ht="15.75">
      <c r="A3" s="85" t="s">
        <v>804</v>
      </c>
      <c r="B3" s="85"/>
      <c r="C3" s="85"/>
      <c r="D3" s="85"/>
    </row>
    <row r="4" spans="1:4" ht="29.25" customHeight="1">
      <c r="A4" s="57"/>
      <c r="B4" s="88" t="s">
        <v>805</v>
      </c>
      <c r="C4" s="88"/>
      <c r="D4" s="88"/>
    </row>
    <row r="5" spans="1:4" ht="28.5">
      <c r="A5" s="36"/>
      <c r="B5" s="37" t="s">
        <v>2</v>
      </c>
      <c r="C5" s="37" t="s">
        <v>703</v>
      </c>
      <c r="D5" s="37" t="s">
        <v>791</v>
      </c>
    </row>
    <row r="6" spans="1:4" ht="12.75">
      <c r="A6" s="36" t="s">
        <v>705</v>
      </c>
      <c r="B6" s="36" t="s">
        <v>14</v>
      </c>
      <c r="C6" s="38"/>
      <c r="D6" s="54">
        <f>D7+D8+D9+D10+D11+D12</f>
        <v>2.48</v>
      </c>
    </row>
    <row r="7" spans="1:4" ht="12.75">
      <c r="A7" s="36"/>
      <c r="B7" s="38" t="s">
        <v>706</v>
      </c>
      <c r="C7" s="38" t="s">
        <v>707</v>
      </c>
      <c r="D7" s="42">
        <v>0.15</v>
      </c>
    </row>
    <row r="8" spans="1:4" ht="12.75">
      <c r="A8" s="36"/>
      <c r="B8" s="38" t="s">
        <v>708</v>
      </c>
      <c r="C8" s="38" t="s">
        <v>707</v>
      </c>
      <c r="D8" s="42">
        <v>0.82</v>
      </c>
    </row>
    <row r="9" spans="1:4" ht="12.75">
      <c r="A9" s="36"/>
      <c r="B9" s="38" t="s">
        <v>709</v>
      </c>
      <c r="C9" s="38" t="s">
        <v>707</v>
      </c>
      <c r="D9" s="42">
        <v>0.79</v>
      </c>
    </row>
    <row r="10" spans="1:4" ht="12.75">
      <c r="A10" s="36"/>
      <c r="B10" s="38" t="s">
        <v>710</v>
      </c>
      <c r="C10" s="38" t="s">
        <v>707</v>
      </c>
      <c r="D10" s="42">
        <v>0.45</v>
      </c>
    </row>
    <row r="11" spans="1:4" ht="12.75">
      <c r="A11" s="36"/>
      <c r="B11" s="38" t="s">
        <v>711</v>
      </c>
      <c r="C11" s="38" t="s">
        <v>707</v>
      </c>
      <c r="D11" s="42">
        <v>0.23</v>
      </c>
    </row>
    <row r="12" spans="1:4" ht="12.75">
      <c r="A12" s="36"/>
      <c r="B12" s="38" t="s">
        <v>795</v>
      </c>
      <c r="C12" s="38" t="s">
        <v>707</v>
      </c>
      <c r="D12" s="42">
        <v>0.04</v>
      </c>
    </row>
    <row r="13" spans="1:4" ht="25.5">
      <c r="A13" s="36" t="s">
        <v>712</v>
      </c>
      <c r="B13" s="36" t="s">
        <v>111</v>
      </c>
      <c r="C13" s="38" t="s">
        <v>707</v>
      </c>
      <c r="D13" s="54">
        <f>D14+D15+D16+D17</f>
        <v>2.9899999999999998</v>
      </c>
    </row>
    <row r="14" spans="1:4" ht="12.75">
      <c r="A14" s="36"/>
      <c r="B14" s="38" t="s">
        <v>713</v>
      </c>
      <c r="C14" s="38" t="s">
        <v>707</v>
      </c>
      <c r="D14" s="42">
        <v>0.77</v>
      </c>
    </row>
    <row r="15" spans="1:4" ht="25.5">
      <c r="A15" s="36"/>
      <c r="B15" s="38" t="s">
        <v>714</v>
      </c>
      <c r="C15" s="38" t="s">
        <v>707</v>
      </c>
      <c r="D15" s="42">
        <v>1.53</v>
      </c>
    </row>
    <row r="16" spans="1:4" ht="12.75">
      <c r="A16" s="36"/>
      <c r="B16" s="38" t="s">
        <v>715</v>
      </c>
      <c r="C16" s="38" t="s">
        <v>707</v>
      </c>
      <c r="D16" s="42">
        <v>0.34</v>
      </c>
    </row>
    <row r="17" spans="1:4" ht="12.75">
      <c r="A17" s="36"/>
      <c r="B17" s="38" t="s">
        <v>716</v>
      </c>
      <c r="C17" s="38" t="s">
        <v>707</v>
      </c>
      <c r="D17" s="42">
        <v>0.35</v>
      </c>
    </row>
    <row r="18" spans="1:4" ht="25.5">
      <c r="A18" s="36" t="s">
        <v>717</v>
      </c>
      <c r="B18" s="36" t="s">
        <v>718</v>
      </c>
      <c r="C18" s="38" t="s">
        <v>719</v>
      </c>
      <c r="D18" s="52">
        <v>1.08</v>
      </c>
    </row>
    <row r="19" spans="1:4" ht="25.5">
      <c r="A19" s="36" t="s">
        <v>720</v>
      </c>
      <c r="B19" s="36" t="s">
        <v>721</v>
      </c>
      <c r="C19" s="38"/>
      <c r="D19" s="53">
        <f>D20+D27+D31+D46</f>
        <v>3.8199999999999994</v>
      </c>
    </row>
    <row r="20" spans="1:4" ht="12.75">
      <c r="A20" s="36"/>
      <c r="B20" s="36" t="s">
        <v>722</v>
      </c>
      <c r="C20" s="38"/>
      <c r="D20" s="43">
        <f>D21+D22+D23+D24+D25+D26</f>
        <v>1.5999999999999999</v>
      </c>
    </row>
    <row r="21" spans="1:4" ht="38.25">
      <c r="A21" s="36"/>
      <c r="B21" s="38" t="s">
        <v>723</v>
      </c>
      <c r="C21" s="38" t="s">
        <v>724</v>
      </c>
      <c r="D21" s="40">
        <v>0.45</v>
      </c>
    </row>
    <row r="22" spans="1:4" ht="38.25">
      <c r="A22" s="36"/>
      <c r="B22" s="38" t="s">
        <v>725</v>
      </c>
      <c r="C22" s="38" t="s">
        <v>776</v>
      </c>
      <c r="D22" s="40">
        <v>0.55</v>
      </c>
    </row>
    <row r="23" spans="1:4" ht="25.5">
      <c r="A23" s="36"/>
      <c r="B23" s="38" t="s">
        <v>727</v>
      </c>
      <c r="C23" s="38" t="s">
        <v>724</v>
      </c>
      <c r="D23" s="40">
        <v>0</v>
      </c>
    </row>
    <row r="24" spans="1:4" ht="25.5">
      <c r="A24" s="36"/>
      <c r="B24" s="38" t="s">
        <v>728</v>
      </c>
      <c r="C24" s="38" t="s">
        <v>729</v>
      </c>
      <c r="D24" s="40">
        <v>0.38</v>
      </c>
    </row>
    <row r="25" spans="1:4" ht="25.5">
      <c r="A25" s="36"/>
      <c r="B25" s="38" t="s">
        <v>730</v>
      </c>
      <c r="C25" s="38" t="s">
        <v>731</v>
      </c>
      <c r="D25" s="40">
        <v>0.22</v>
      </c>
    </row>
    <row r="26" spans="1:4" ht="12.75">
      <c r="A26" s="36"/>
      <c r="B26" s="38" t="s">
        <v>732</v>
      </c>
      <c r="C26" s="38" t="s">
        <v>729</v>
      </c>
      <c r="D26" s="40">
        <v>0</v>
      </c>
    </row>
    <row r="27" spans="1:4" ht="12.75">
      <c r="A27" s="36"/>
      <c r="B27" s="36" t="s">
        <v>733</v>
      </c>
      <c r="C27" s="38"/>
      <c r="D27" s="43">
        <v>0</v>
      </c>
    </row>
    <row r="28" spans="1:4" ht="25.5">
      <c r="A28" s="36"/>
      <c r="B28" s="38" t="s">
        <v>734</v>
      </c>
      <c r="C28" s="38" t="s">
        <v>803</v>
      </c>
      <c r="D28" s="40">
        <v>0</v>
      </c>
    </row>
    <row r="29" spans="1:4" ht="25.5">
      <c r="A29" s="36"/>
      <c r="B29" s="38" t="s">
        <v>735</v>
      </c>
      <c r="C29" s="38" t="s">
        <v>803</v>
      </c>
      <c r="D29" s="40">
        <v>0</v>
      </c>
    </row>
    <row r="30" spans="1:4" ht="38.25">
      <c r="A30" s="36"/>
      <c r="B30" s="38" t="s">
        <v>777</v>
      </c>
      <c r="C30" s="38" t="s">
        <v>731</v>
      </c>
      <c r="D30" s="40">
        <v>0</v>
      </c>
    </row>
    <row r="31" spans="1:4" ht="12.75">
      <c r="A31" s="36"/>
      <c r="B31" s="36" t="s">
        <v>736</v>
      </c>
      <c r="C31" s="38"/>
      <c r="D31" s="43">
        <v>2.05</v>
      </c>
    </row>
    <row r="32" spans="1:4" ht="38.25">
      <c r="A32" s="36"/>
      <c r="B32" s="38" t="s">
        <v>737</v>
      </c>
      <c r="C32" s="38" t="s">
        <v>724</v>
      </c>
      <c r="D32" s="48">
        <v>0.47</v>
      </c>
    </row>
    <row r="33" spans="1:4" ht="25.5">
      <c r="A33" s="36"/>
      <c r="B33" s="38" t="s">
        <v>738</v>
      </c>
      <c r="C33" s="38" t="s">
        <v>739</v>
      </c>
      <c r="D33" s="45">
        <v>0.38</v>
      </c>
    </row>
    <row r="34" spans="1:4" ht="25.5">
      <c r="A34" s="36"/>
      <c r="B34" s="38" t="s">
        <v>781</v>
      </c>
      <c r="C34" s="38" t="s">
        <v>783</v>
      </c>
      <c r="D34" s="45">
        <v>0.07</v>
      </c>
    </row>
    <row r="35" spans="1:4" ht="25.5">
      <c r="A35" s="36"/>
      <c r="B35" s="38" t="s">
        <v>780</v>
      </c>
      <c r="C35" s="38" t="s">
        <v>724</v>
      </c>
      <c r="D35" s="45">
        <v>0.02</v>
      </c>
    </row>
    <row r="36" spans="1:4" ht="51">
      <c r="A36" s="36"/>
      <c r="B36" s="38" t="s">
        <v>740</v>
      </c>
      <c r="C36" s="38" t="s">
        <v>724</v>
      </c>
      <c r="D36" s="45">
        <v>0.44</v>
      </c>
    </row>
    <row r="37" spans="1:4" ht="25.5">
      <c r="A37" s="36"/>
      <c r="B37" s="38" t="s">
        <v>741</v>
      </c>
      <c r="C37" s="38" t="s">
        <v>784</v>
      </c>
      <c r="D37" s="45">
        <v>0.11</v>
      </c>
    </row>
    <row r="38" spans="1:4" ht="38.25">
      <c r="A38" s="36"/>
      <c r="B38" s="38" t="s">
        <v>742</v>
      </c>
      <c r="C38" s="38" t="s">
        <v>743</v>
      </c>
      <c r="D38" s="45">
        <v>0.15</v>
      </c>
    </row>
    <row r="39" spans="1:4" ht="25.5">
      <c r="A39" s="36"/>
      <c r="B39" s="38" t="s">
        <v>744</v>
      </c>
      <c r="C39" s="38" t="s">
        <v>743</v>
      </c>
      <c r="D39" s="45">
        <v>0.03</v>
      </c>
    </row>
    <row r="40" spans="1:4" ht="25.5">
      <c r="A40" s="36"/>
      <c r="B40" s="38" t="s">
        <v>343</v>
      </c>
      <c r="C40" s="38" t="s">
        <v>724</v>
      </c>
      <c r="D40" s="45">
        <v>0.05</v>
      </c>
    </row>
    <row r="41" spans="1:4" ht="25.5">
      <c r="A41" s="36"/>
      <c r="B41" s="38" t="s">
        <v>345</v>
      </c>
      <c r="C41" s="38" t="s">
        <v>724</v>
      </c>
      <c r="D41" s="45">
        <v>0.02</v>
      </c>
    </row>
    <row r="42" spans="1:4" ht="25.5">
      <c r="A42" s="36"/>
      <c r="B42" s="38" t="s">
        <v>348</v>
      </c>
      <c r="C42" s="38" t="s">
        <v>724</v>
      </c>
      <c r="D42" s="45">
        <v>0.04</v>
      </c>
    </row>
    <row r="43" spans="1:4" ht="12.75">
      <c r="A43" s="36"/>
      <c r="B43" s="38" t="s">
        <v>786</v>
      </c>
      <c r="C43" s="38" t="s">
        <v>785</v>
      </c>
      <c r="D43" s="45">
        <v>0.04</v>
      </c>
    </row>
    <row r="44" spans="1:4" ht="12.75">
      <c r="A44" s="36"/>
      <c r="B44" s="38" t="s">
        <v>745</v>
      </c>
      <c r="C44" s="38" t="s">
        <v>743</v>
      </c>
      <c r="D44" s="45">
        <v>0.05</v>
      </c>
    </row>
    <row r="45" spans="1:4" ht="24">
      <c r="A45" s="36"/>
      <c r="B45" t="s">
        <v>782</v>
      </c>
      <c r="C45" s="38" t="s">
        <v>743</v>
      </c>
      <c r="D45" s="45">
        <v>0.18</v>
      </c>
    </row>
    <row r="46" spans="1:4" ht="12.75">
      <c r="A46" s="36"/>
      <c r="B46" s="36" t="s">
        <v>746</v>
      </c>
      <c r="C46" s="38" t="s">
        <v>747</v>
      </c>
      <c r="D46" s="49">
        <v>0.17</v>
      </c>
    </row>
    <row r="47" spans="1:4" ht="12.75">
      <c r="A47" s="36" t="s">
        <v>748</v>
      </c>
      <c r="B47" s="36" t="s">
        <v>749</v>
      </c>
      <c r="C47" s="38" t="s">
        <v>726</v>
      </c>
      <c r="D47" s="46">
        <v>0.6</v>
      </c>
    </row>
    <row r="48" spans="1:4" ht="25.5">
      <c r="A48" s="36" t="s">
        <v>750</v>
      </c>
      <c r="B48" s="36" t="s">
        <v>751</v>
      </c>
      <c r="C48" s="38" t="s">
        <v>752</v>
      </c>
      <c r="D48" s="47">
        <v>1.9</v>
      </c>
    </row>
    <row r="49" spans="1:4" ht="12.75">
      <c r="A49" s="36" t="s">
        <v>753</v>
      </c>
      <c r="B49" s="36" t="s">
        <v>754</v>
      </c>
      <c r="C49" s="38" t="s">
        <v>755</v>
      </c>
      <c r="D49" s="47">
        <v>0.2</v>
      </c>
    </row>
    <row r="50" spans="1:4" ht="12.75">
      <c r="A50" s="36" t="s">
        <v>756</v>
      </c>
      <c r="B50" s="36" t="s">
        <v>757</v>
      </c>
      <c r="C50" s="38" t="s">
        <v>743</v>
      </c>
      <c r="D50" s="47">
        <v>0.09</v>
      </c>
    </row>
    <row r="51" spans="1:4" ht="12.75">
      <c r="A51" s="36" t="s">
        <v>758</v>
      </c>
      <c r="B51" s="36" t="s">
        <v>792</v>
      </c>
      <c r="C51" s="38" t="s">
        <v>747</v>
      </c>
      <c r="D51" s="50">
        <v>0.18</v>
      </c>
    </row>
    <row r="52" spans="1:4" ht="12.75">
      <c r="A52" s="36" t="s">
        <v>760</v>
      </c>
      <c r="B52" s="36" t="s">
        <v>761</v>
      </c>
      <c r="C52" s="38" t="s">
        <v>762</v>
      </c>
      <c r="D52" s="50">
        <v>1.15</v>
      </c>
    </row>
    <row r="53" spans="1:4" ht="12.75">
      <c r="A53" s="36" t="s">
        <v>763</v>
      </c>
      <c r="B53" s="39" t="s">
        <v>764</v>
      </c>
      <c r="C53" s="38" t="s">
        <v>755</v>
      </c>
      <c r="D53" s="47">
        <v>0.06</v>
      </c>
    </row>
    <row r="54" spans="1:4" ht="12.75">
      <c r="A54" s="36" t="s">
        <v>765</v>
      </c>
      <c r="B54" s="36" t="s">
        <v>766</v>
      </c>
      <c r="C54" s="38" t="s">
        <v>762</v>
      </c>
      <c r="D54" s="47">
        <v>0</v>
      </c>
    </row>
    <row r="55" spans="1:4" ht="12.75">
      <c r="A55" s="36" t="s">
        <v>767</v>
      </c>
      <c r="B55" s="36" t="s">
        <v>768</v>
      </c>
      <c r="C55" s="38"/>
      <c r="D55" s="47">
        <v>1.6</v>
      </c>
    </row>
    <row r="56" spans="1:4" ht="12.75">
      <c r="A56" s="36" t="s">
        <v>769</v>
      </c>
      <c r="B56" s="36" t="s">
        <v>771</v>
      </c>
      <c r="C56" s="38"/>
      <c r="D56" s="47">
        <v>0.95</v>
      </c>
    </row>
    <row r="57" spans="1:4" ht="12.75">
      <c r="A57" s="36"/>
      <c r="B57" s="36" t="s">
        <v>770</v>
      </c>
      <c r="C57" s="38"/>
      <c r="D57" s="51">
        <f>D6+D13+D18+D19+D47+D48+D49+D50+D51+D52+D53+D54+D55+D56</f>
        <v>17.099999999999998</v>
      </c>
    </row>
  </sheetData>
  <sheetProtection/>
  <mergeCells count="3">
    <mergeCell ref="B1:D2"/>
    <mergeCell ref="A3:D3"/>
    <mergeCell ref="B4:D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H12" sqref="H12"/>
    </sheetView>
  </sheetViews>
  <sheetFormatPr defaultColWidth="9.140625" defaultRowHeight="12"/>
  <cols>
    <col min="2" max="2" width="36.57421875" style="0" customWidth="1"/>
    <col min="3" max="3" width="26.7109375" style="0" customWidth="1"/>
    <col min="4" max="4" width="16.28125" style="0" customWidth="1"/>
  </cols>
  <sheetData>
    <row r="1" spans="1:4" ht="15.75" customHeight="1">
      <c r="A1" s="55"/>
      <c r="B1" s="90" t="s">
        <v>787</v>
      </c>
      <c r="C1" s="90"/>
      <c r="D1" s="90"/>
    </row>
    <row r="2" spans="1:4" ht="15.75">
      <c r="A2" s="55"/>
      <c r="B2" s="90"/>
      <c r="C2" s="90"/>
      <c r="D2" s="90"/>
    </row>
    <row r="3" spans="1:4" ht="15.75">
      <c r="A3" s="85" t="s">
        <v>806</v>
      </c>
      <c r="B3" s="85"/>
      <c r="C3" s="85"/>
      <c r="D3" s="85"/>
    </row>
    <row r="4" spans="1:4" ht="15.75">
      <c r="A4" s="58"/>
      <c r="B4" s="89" t="s">
        <v>807</v>
      </c>
      <c r="C4" s="89"/>
      <c r="D4" s="58"/>
    </row>
    <row r="5" spans="1:4" ht="28.5">
      <c r="A5" s="36"/>
      <c r="B5" s="37" t="s">
        <v>2</v>
      </c>
      <c r="C5" s="37" t="s">
        <v>703</v>
      </c>
      <c r="D5" s="37" t="s">
        <v>704</v>
      </c>
    </row>
    <row r="6" spans="1:4" ht="12.75">
      <c r="A6" s="36" t="s">
        <v>705</v>
      </c>
      <c r="B6" s="36" t="s">
        <v>14</v>
      </c>
      <c r="C6" s="38"/>
      <c r="D6" s="54">
        <f>D7+D8+D9+D10+D11+D12</f>
        <v>1.6800000000000002</v>
      </c>
    </row>
    <row r="7" spans="1:4" ht="12.75">
      <c r="A7" s="36"/>
      <c r="B7" s="38" t="s">
        <v>706</v>
      </c>
      <c r="C7" s="38" t="s">
        <v>707</v>
      </c>
      <c r="D7" s="42">
        <v>0.15</v>
      </c>
    </row>
    <row r="8" spans="1:4" ht="12.75">
      <c r="A8" s="36"/>
      <c r="B8" s="38" t="s">
        <v>708</v>
      </c>
      <c r="C8" s="38" t="s">
        <v>707</v>
      </c>
      <c r="D8" s="42">
        <v>0.61</v>
      </c>
    </row>
    <row r="9" spans="1:4" ht="12.75">
      <c r="A9" s="36"/>
      <c r="B9" s="38" t="s">
        <v>709</v>
      </c>
      <c r="C9" s="38" t="s">
        <v>707</v>
      </c>
      <c r="D9" s="42">
        <v>0.51</v>
      </c>
    </row>
    <row r="10" spans="1:4" ht="12.75">
      <c r="A10" s="36"/>
      <c r="B10" s="38" t="s">
        <v>710</v>
      </c>
      <c r="C10" s="38" t="s">
        <v>707</v>
      </c>
      <c r="D10" s="42">
        <v>0.24</v>
      </c>
    </row>
    <row r="11" spans="1:4" ht="12.75">
      <c r="A11" s="36"/>
      <c r="B11" s="38" t="s">
        <v>711</v>
      </c>
      <c r="C11" s="38" t="s">
        <v>707</v>
      </c>
      <c r="D11" s="42">
        <v>0.13</v>
      </c>
    </row>
    <row r="12" spans="1:4" ht="12.75">
      <c r="A12" s="36"/>
      <c r="B12" s="38" t="s">
        <v>789</v>
      </c>
      <c r="C12" s="38" t="s">
        <v>707</v>
      </c>
      <c r="D12" s="42">
        <v>0.04</v>
      </c>
    </row>
    <row r="13" spans="1:4" ht="25.5">
      <c r="A13" s="36" t="s">
        <v>712</v>
      </c>
      <c r="B13" s="36" t="s">
        <v>111</v>
      </c>
      <c r="C13" s="38" t="s">
        <v>707</v>
      </c>
      <c r="D13" s="54">
        <f>D14+D15+D16+D17</f>
        <v>2.29</v>
      </c>
    </row>
    <row r="14" spans="1:4" ht="12.75">
      <c r="A14" s="36"/>
      <c r="B14" s="38" t="s">
        <v>713</v>
      </c>
      <c r="C14" s="38" t="s">
        <v>707</v>
      </c>
      <c r="D14" s="42">
        <v>0.77</v>
      </c>
    </row>
    <row r="15" spans="1:4" ht="25.5">
      <c r="A15" s="36"/>
      <c r="B15" s="38" t="s">
        <v>714</v>
      </c>
      <c r="C15" s="38" t="s">
        <v>707</v>
      </c>
      <c r="D15" s="42">
        <v>0.83</v>
      </c>
    </row>
    <row r="16" spans="1:4" ht="12.75">
      <c r="A16" s="36"/>
      <c r="B16" s="38" t="s">
        <v>715</v>
      </c>
      <c r="C16" s="38" t="s">
        <v>707</v>
      </c>
      <c r="D16" s="42">
        <v>0.34</v>
      </c>
    </row>
    <row r="17" spans="1:4" ht="12.75">
      <c r="A17" s="36"/>
      <c r="B17" s="38" t="s">
        <v>716</v>
      </c>
      <c r="C17" s="38" t="s">
        <v>707</v>
      </c>
      <c r="D17" s="42">
        <v>0.35</v>
      </c>
    </row>
    <row r="18" spans="1:4" ht="25.5">
      <c r="A18" s="36" t="s">
        <v>717</v>
      </c>
      <c r="B18" s="36" t="s">
        <v>718</v>
      </c>
      <c r="C18" s="38" t="s">
        <v>719</v>
      </c>
      <c r="D18" s="52">
        <v>1.08</v>
      </c>
    </row>
    <row r="19" spans="1:4" ht="25.5">
      <c r="A19" s="36" t="s">
        <v>720</v>
      </c>
      <c r="B19" s="36" t="s">
        <v>721</v>
      </c>
      <c r="C19" s="38"/>
      <c r="D19" s="53">
        <f>D20+D27+D31+D46</f>
        <v>2.2199999999999998</v>
      </c>
    </row>
    <row r="20" spans="1:4" ht="12.75">
      <c r="A20" s="36"/>
      <c r="B20" s="36" t="s">
        <v>722</v>
      </c>
      <c r="C20" s="38"/>
      <c r="D20" s="43">
        <v>0</v>
      </c>
    </row>
    <row r="21" spans="1:4" ht="38.25">
      <c r="A21" s="36"/>
      <c r="B21" s="38" t="s">
        <v>723</v>
      </c>
      <c r="C21" s="38" t="s">
        <v>724</v>
      </c>
      <c r="D21" s="40">
        <v>0</v>
      </c>
    </row>
    <row r="22" spans="1:4" ht="38.25">
      <c r="A22" s="36"/>
      <c r="B22" s="38" t="s">
        <v>725</v>
      </c>
      <c r="C22" s="38" t="s">
        <v>776</v>
      </c>
      <c r="D22" s="40">
        <v>0</v>
      </c>
    </row>
    <row r="23" spans="1:4" ht="25.5">
      <c r="A23" s="36"/>
      <c r="B23" s="38" t="s">
        <v>727</v>
      </c>
      <c r="C23" s="38" t="s">
        <v>724</v>
      </c>
      <c r="D23" s="40">
        <v>0</v>
      </c>
    </row>
    <row r="24" spans="1:4" ht="25.5">
      <c r="A24" s="36"/>
      <c r="B24" s="38" t="s">
        <v>728</v>
      </c>
      <c r="C24" s="38" t="s">
        <v>729</v>
      </c>
      <c r="D24" s="40">
        <v>0</v>
      </c>
    </row>
    <row r="25" spans="1:4" ht="25.5">
      <c r="A25" s="36"/>
      <c r="B25" s="38" t="s">
        <v>730</v>
      </c>
      <c r="C25" s="38" t="s">
        <v>731</v>
      </c>
      <c r="D25" s="40">
        <v>0</v>
      </c>
    </row>
    <row r="26" spans="1:4" ht="12.75">
      <c r="A26" s="36"/>
      <c r="B26" s="38" t="s">
        <v>732</v>
      </c>
      <c r="C26" s="38" t="s">
        <v>729</v>
      </c>
      <c r="D26" s="40">
        <v>0</v>
      </c>
    </row>
    <row r="27" spans="1:4" ht="12.75">
      <c r="A27" s="36"/>
      <c r="B27" s="36" t="s">
        <v>733</v>
      </c>
      <c r="C27" s="38"/>
      <c r="D27" s="43">
        <v>0</v>
      </c>
    </row>
    <row r="28" spans="1:4" ht="25.5">
      <c r="A28" s="36"/>
      <c r="B28" s="38" t="s">
        <v>734</v>
      </c>
      <c r="C28" s="38" t="s">
        <v>803</v>
      </c>
      <c r="D28" s="40">
        <v>0</v>
      </c>
    </row>
    <row r="29" spans="1:4" ht="25.5">
      <c r="A29" s="36"/>
      <c r="B29" s="38" t="s">
        <v>735</v>
      </c>
      <c r="C29" s="38" t="s">
        <v>803</v>
      </c>
      <c r="D29" s="40">
        <v>0</v>
      </c>
    </row>
    <row r="30" spans="1:4" ht="25.5">
      <c r="A30" s="36"/>
      <c r="B30" s="38" t="s">
        <v>777</v>
      </c>
      <c r="C30" s="38" t="s">
        <v>731</v>
      </c>
      <c r="D30" s="40">
        <v>0</v>
      </c>
    </row>
    <row r="31" spans="1:4" ht="12.75">
      <c r="A31" s="36"/>
      <c r="B31" s="36" t="s">
        <v>736</v>
      </c>
      <c r="C31" s="38"/>
      <c r="D31" s="43">
        <v>2.05</v>
      </c>
    </row>
    <row r="32" spans="1:4" ht="38.25">
      <c r="A32" s="36"/>
      <c r="B32" s="38" t="s">
        <v>737</v>
      </c>
      <c r="C32" s="38" t="s">
        <v>724</v>
      </c>
      <c r="D32" s="48">
        <v>0.47</v>
      </c>
    </row>
    <row r="33" spans="1:4" ht="25.5">
      <c r="A33" s="36"/>
      <c r="B33" s="38" t="s">
        <v>738</v>
      </c>
      <c r="C33" s="38" t="s">
        <v>739</v>
      </c>
      <c r="D33" s="45">
        <v>0.38</v>
      </c>
    </row>
    <row r="34" spans="1:4" ht="25.5">
      <c r="A34" s="36"/>
      <c r="B34" s="38" t="s">
        <v>781</v>
      </c>
      <c r="C34" s="38" t="s">
        <v>783</v>
      </c>
      <c r="D34" s="45">
        <v>0.07</v>
      </c>
    </row>
    <row r="35" spans="1:4" ht="25.5">
      <c r="A35" s="36"/>
      <c r="B35" s="38" t="s">
        <v>780</v>
      </c>
      <c r="C35" s="38" t="s">
        <v>724</v>
      </c>
      <c r="D35" s="45">
        <v>0.02</v>
      </c>
    </row>
    <row r="36" spans="1:4" ht="51">
      <c r="A36" s="36"/>
      <c r="B36" s="38" t="s">
        <v>740</v>
      </c>
      <c r="C36" s="38" t="s">
        <v>724</v>
      </c>
      <c r="D36" s="45">
        <v>0.44</v>
      </c>
    </row>
    <row r="37" spans="1:4" ht="25.5">
      <c r="A37" s="36"/>
      <c r="B37" s="38" t="s">
        <v>741</v>
      </c>
      <c r="C37" s="38" t="s">
        <v>784</v>
      </c>
      <c r="D37" s="45">
        <v>0.11</v>
      </c>
    </row>
    <row r="38" spans="1:4" ht="38.25">
      <c r="A38" s="36"/>
      <c r="B38" s="38" t="s">
        <v>742</v>
      </c>
      <c r="C38" s="38" t="s">
        <v>743</v>
      </c>
      <c r="D38" s="45">
        <v>0.15</v>
      </c>
    </row>
    <row r="39" spans="1:4" ht="25.5">
      <c r="A39" s="36"/>
      <c r="B39" s="38" t="s">
        <v>744</v>
      </c>
      <c r="C39" s="38" t="s">
        <v>743</v>
      </c>
      <c r="D39" s="45">
        <v>0.03</v>
      </c>
    </row>
    <row r="40" spans="1:4" ht="25.5">
      <c r="A40" s="36"/>
      <c r="B40" s="38" t="s">
        <v>343</v>
      </c>
      <c r="C40" s="38" t="s">
        <v>724</v>
      </c>
      <c r="D40" s="45">
        <v>0.05</v>
      </c>
    </row>
    <row r="41" spans="1:4" ht="25.5">
      <c r="A41" s="36"/>
      <c r="B41" s="38" t="s">
        <v>345</v>
      </c>
      <c r="C41" s="38" t="s">
        <v>724</v>
      </c>
      <c r="D41" s="45">
        <v>0.02</v>
      </c>
    </row>
    <row r="42" spans="1:4" ht="25.5">
      <c r="A42" s="36"/>
      <c r="B42" s="38" t="s">
        <v>348</v>
      </c>
      <c r="C42" s="38" t="s">
        <v>724</v>
      </c>
      <c r="D42" s="45">
        <v>0.04</v>
      </c>
    </row>
    <row r="43" spans="1:4" ht="12.75">
      <c r="A43" s="36"/>
      <c r="B43" s="38" t="s">
        <v>786</v>
      </c>
      <c r="C43" s="38" t="s">
        <v>785</v>
      </c>
      <c r="D43" s="45">
        <v>0.04</v>
      </c>
    </row>
    <row r="44" spans="1:4" ht="12.75">
      <c r="A44" s="36"/>
      <c r="B44" s="38" t="s">
        <v>745</v>
      </c>
      <c r="C44" s="38" t="s">
        <v>743</v>
      </c>
      <c r="D44" s="45">
        <v>0.05</v>
      </c>
    </row>
    <row r="45" spans="1:4" ht="12.75">
      <c r="A45" s="36"/>
      <c r="B45" t="s">
        <v>782</v>
      </c>
      <c r="C45" s="38" t="s">
        <v>743</v>
      </c>
      <c r="D45" s="45">
        <v>0.18</v>
      </c>
    </row>
    <row r="46" spans="1:4" ht="12.75">
      <c r="A46" s="36"/>
      <c r="B46" s="36" t="s">
        <v>746</v>
      </c>
      <c r="C46" s="38" t="s">
        <v>747</v>
      </c>
      <c r="D46" s="49">
        <v>0.17</v>
      </c>
    </row>
    <row r="47" spans="1:4" ht="12.75">
      <c r="A47" s="36" t="s">
        <v>748</v>
      </c>
      <c r="B47" s="36" t="s">
        <v>749</v>
      </c>
      <c r="C47" s="38" t="s">
        <v>726</v>
      </c>
      <c r="D47" s="46">
        <v>0.6</v>
      </c>
    </row>
    <row r="48" spans="1:4" ht="25.5">
      <c r="A48" s="36" t="s">
        <v>750</v>
      </c>
      <c r="B48" s="36" t="s">
        <v>751</v>
      </c>
      <c r="C48" s="38" t="s">
        <v>752</v>
      </c>
      <c r="D48" s="47">
        <v>1.9</v>
      </c>
    </row>
    <row r="49" spans="1:4" ht="12.75">
      <c r="A49" s="36" t="s">
        <v>753</v>
      </c>
      <c r="B49" s="36" t="s">
        <v>754</v>
      </c>
      <c r="C49" s="38" t="s">
        <v>755</v>
      </c>
      <c r="D49" s="47">
        <v>0.2</v>
      </c>
    </row>
    <row r="50" spans="1:4" ht="12.75">
      <c r="A50" s="36" t="s">
        <v>756</v>
      </c>
      <c r="B50" s="36" t="s">
        <v>757</v>
      </c>
      <c r="C50" s="38" t="s">
        <v>743</v>
      </c>
      <c r="D50" s="47">
        <v>0.09</v>
      </c>
    </row>
    <row r="51" spans="1:4" ht="25.5">
      <c r="A51" s="36" t="s">
        <v>758</v>
      </c>
      <c r="B51" s="36" t="s">
        <v>759</v>
      </c>
      <c r="C51" s="38" t="s">
        <v>747</v>
      </c>
      <c r="D51" s="50">
        <v>0.18</v>
      </c>
    </row>
    <row r="52" spans="1:4" ht="12.75">
      <c r="A52" s="36" t="s">
        <v>760</v>
      </c>
      <c r="B52" s="36" t="s">
        <v>761</v>
      </c>
      <c r="C52" s="38" t="s">
        <v>762</v>
      </c>
      <c r="D52" s="50">
        <v>1.15</v>
      </c>
    </row>
    <row r="53" spans="1:4" ht="12.75">
      <c r="A53" s="36" t="s">
        <v>763</v>
      </c>
      <c r="B53" s="39" t="s">
        <v>764</v>
      </c>
      <c r="C53" s="38" t="s">
        <v>755</v>
      </c>
      <c r="D53" s="47">
        <v>0.06</v>
      </c>
    </row>
    <row r="54" spans="1:4" ht="12.75">
      <c r="A54" s="36" t="s">
        <v>765</v>
      </c>
      <c r="B54" s="36" t="s">
        <v>766</v>
      </c>
      <c r="C54" s="38" t="s">
        <v>762</v>
      </c>
      <c r="D54" s="47">
        <v>2.75</v>
      </c>
    </row>
    <row r="55" spans="1:4" ht="12.75">
      <c r="A55" s="36" t="s">
        <v>767</v>
      </c>
      <c r="B55" s="36" t="s">
        <v>768</v>
      </c>
      <c r="C55" s="38"/>
      <c r="D55" s="47">
        <v>1.6</v>
      </c>
    </row>
    <row r="56" spans="1:4" ht="12.75">
      <c r="A56" s="36" t="s">
        <v>769</v>
      </c>
      <c r="B56" s="36" t="s">
        <v>771</v>
      </c>
      <c r="C56" s="38"/>
      <c r="D56" s="47">
        <v>0.95</v>
      </c>
    </row>
    <row r="57" spans="1:4" ht="12.75">
      <c r="A57" s="36"/>
      <c r="B57" s="36" t="s">
        <v>770</v>
      </c>
      <c r="C57" s="38"/>
      <c r="D57" s="51">
        <f>D6+D13+D18+D19+D47+D48+D49+D50+D51+D52+D53+D54+D55+D56</f>
        <v>16.75</v>
      </c>
    </row>
  </sheetData>
  <sheetProtection/>
  <mergeCells count="3">
    <mergeCell ref="A3:D3"/>
    <mergeCell ref="B1:D2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Ð¡Ð¼ÐµÑ‚Ð° Ñ€Ð°ÑÑ…Ð¾Ð´Ð¾Ð²</dc:title>
  <dc:subject>Ð¡Ð¼ÐµÑ‚Ð° Ñ€Ð°ÑÑ…Ð¾Ð´Ð¾Ð²</dc:subject>
  <dc:creator>ÐœÐšÐ”-Ñ€Ð°ÑÑ‡ÐµÑ‚. Ð¦ÐµÐ½Ñ‚Ñ€ Ð¼ÑƒÐ½Ð¸Ñ†Ð¸Ð¿Ð°Ð»ÑŒÐ½Ð¾Ð¹ ÑÐºÐ¾Ð½Ð¾Ð¼Ð¸ÐºÐ¸ Ð¸ Ð¿Ñ€Ð°Ð²Ð°</dc:creator>
  <cp:keywords>ÑÐ¼ÐµÑ‚Ð° Ñ€Ð°ÑÑ‡ÐµÑ‚ Ð¶ÐºÑ…</cp:keywords>
  <dc:description>Ð¡Ð¼ÐµÑ‚Ð° Ñ€Ð°ÑÑ…Ð¾Ð´Ð¾Ð² Ð²ÐºÐ»ÑŽÑ‡Ð°ÐµÑ‚ Ð¿ÐµÑ€ÐµÑ‡ÐµÐ½ÑŒ Ñ€Ð°Ð±Ð¾Ñ‚ Ð¸ Ð¿ÐµÑ€ÐµÑ‡ÐµÐ½ÑŒ Ñ€ÐµÑÑƒÑ€ÑÐ¾Ð²</dc:description>
  <cp:lastModifiedBy>Пользователь</cp:lastModifiedBy>
  <cp:lastPrinted>2016-02-19T12:23:35Z</cp:lastPrinted>
  <dcterms:created xsi:type="dcterms:W3CDTF">2015-12-07T09:50:54Z</dcterms:created>
  <dcterms:modified xsi:type="dcterms:W3CDTF">2016-03-28T06:31:39Z</dcterms:modified>
  <cp:category>Test result file</cp:category>
  <cp:version/>
  <cp:contentType/>
  <cp:contentStatus/>
</cp:coreProperties>
</file>